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6380" windowHeight="8190" tabRatio="500" activeTab="1"/>
  </bookViews>
  <sheets>
    <sheet name="Renseignement " sheetId="1" r:id="rId1"/>
    <sheet name="ENQUETE " sheetId="2" r:id="rId2"/>
    <sheet name="REPARTITION" sheetId="3" r:id="rId3"/>
    <sheet name="Evolution" sheetId="4" r:id="rId4"/>
    <sheet name="Patho indication" sheetId="6" r:id="rId5"/>
  </sheets>
  <definedNames>
    <definedName name="Date1">'Evolution'!$B$3</definedName>
    <definedName name="Date10">'Evolution'!$K$3</definedName>
    <definedName name="Date11">'Evolution'!$L$3</definedName>
    <definedName name="Date2">'Evolution'!$C$3</definedName>
    <definedName name="Date3">'Evolution'!$D$3</definedName>
    <definedName name="Date4">'Evolution'!$E$3</definedName>
    <definedName name="Date5">'Evolution'!$F$3</definedName>
    <definedName name="Date6">'Evolution'!$G$3</definedName>
    <definedName name="Date7">'Evolution'!$H$3</definedName>
    <definedName name="Date8">'Evolution'!$I$3</definedName>
    <definedName name="Date9">'Evolution'!$J$3</definedName>
    <definedName name="ecart1">'Evolution'!$C$4</definedName>
    <definedName name="ecart10">'Evolution'!$L$4</definedName>
    <definedName name="ecart2">'Evolution'!$D$4</definedName>
    <definedName name="ecart3">'Evolution'!$E$4</definedName>
    <definedName name="ecart4">'Evolution'!$F$4</definedName>
    <definedName name="ecart5">'Evolution'!$G$4</definedName>
    <definedName name="ecart6">'Evolution'!$H$4</definedName>
    <definedName name="ecart7">'Evolution'!$I$4</definedName>
    <definedName name="ecart8">'Evolution'!$J$4</definedName>
    <definedName name="ecart9">'Evolution'!$K$4</definedName>
    <definedName name="hypoC" localSheetId="1">'Renseignement '!$B$23</definedName>
    <definedName name="hypoC">'Renseignement '!$B$23</definedName>
    <definedName name="IMC.1">'Evolution'!$B$6</definedName>
    <definedName name="IMC.10">'Evolution'!$K$6</definedName>
    <definedName name="IMC.11">'Evolution'!$L$6</definedName>
    <definedName name="IMC.2">'Evolution'!$C$6</definedName>
    <definedName name="IMC.3">'Evolution'!$D$6</definedName>
    <definedName name="IMC.4">'Evolution'!$E$6</definedName>
    <definedName name="IMC.5">'Evolution'!$F$6</definedName>
    <definedName name="IMC.6">'Evolution'!$G$6</definedName>
    <definedName name="IMC.7">'Evolution'!$H$6</definedName>
    <definedName name="IMC.8">'Evolution'!$I$6</definedName>
    <definedName name="IMC.9">'Evolution'!$J$6</definedName>
    <definedName name="MG">'Renseignement '!$B$11</definedName>
    <definedName name="MG.0">'Evolution'!$B$7</definedName>
    <definedName name="MG.1">'Evolution'!$C$7</definedName>
    <definedName name="MG.2">'Evolution'!$D$7</definedName>
    <definedName name="MG.3">'Evolution'!$E$7</definedName>
    <definedName name="MG.4">'Evolution'!$F$7</definedName>
    <definedName name="MG.5">'Evolution'!$G$7</definedName>
    <definedName name="MG.6">'Evolution'!$H$7</definedName>
    <definedName name="MG.7">'Evolution'!$I$7</definedName>
    <definedName name="poids" localSheetId="1">'Renseignement '!$B$7</definedName>
    <definedName name="poids">'Renseignement '!$B$7</definedName>
    <definedName name="poids0">'Evolution'!$B$2</definedName>
    <definedName name="poids1">'Evolution'!$C$2</definedName>
    <definedName name="poids10">'Evolution'!$L$2</definedName>
    <definedName name="poids2">'Evolution'!$D$2</definedName>
    <definedName name="poids3">'Evolution'!$E$2</definedName>
    <definedName name="poids4">'Evolution'!$F$2</definedName>
    <definedName name="poids5">'Evolution'!$G$2</definedName>
    <definedName name="poids6">'Evolution'!$H$2</definedName>
    <definedName name="poids7">'Evolution'!$I$2</definedName>
    <definedName name="poids8">'Evolution'!$J$2</definedName>
    <definedName name="poids9">'Evolution'!$K$2</definedName>
    <definedName name="taille" localSheetId="1">'Renseignement '!$B$8</definedName>
    <definedName name="taille">'Renseignement '!$B$8</definedName>
  </definedNames>
  <calcPr calcId="191029"/>
  <extLst/>
</workbook>
</file>

<file path=xl/sharedStrings.xml><?xml version="1.0" encoding="utf-8"?>
<sst xmlns="http://schemas.openxmlformats.org/spreadsheetml/2006/main" count="453" uniqueCount="387">
  <si>
    <t>NOM</t>
  </si>
  <si>
    <t>PRENOM</t>
  </si>
  <si>
    <t>Poids de forme</t>
  </si>
  <si>
    <t>N°</t>
  </si>
  <si>
    <t>AGE</t>
  </si>
  <si>
    <t>Idéal</t>
  </si>
  <si>
    <t xml:space="preserve">A perdre : </t>
  </si>
  <si>
    <t>Estimation temps :</t>
  </si>
  <si>
    <t>POIDS</t>
  </si>
  <si>
    <t>TAILLE</t>
  </si>
  <si>
    <t>IMC</t>
  </si>
  <si>
    <t>Norme :25-30%</t>
  </si>
  <si>
    <t>pour la MG</t>
  </si>
  <si>
    <t>%mg formule Deurenberg</t>
  </si>
  <si>
    <t>Sport :</t>
  </si>
  <si>
    <t>25-30</t>
  </si>
  <si>
    <t>surpoids</t>
  </si>
  <si>
    <t>30-35</t>
  </si>
  <si>
    <t>Obésité modéré</t>
  </si>
  <si>
    <t>NAP</t>
  </si>
  <si>
    <t>MB</t>
  </si>
  <si>
    <t>35-40</t>
  </si>
  <si>
    <t>Obésité sévère</t>
  </si>
  <si>
    <t>sédentaire</t>
  </si>
  <si>
    <t>40 +</t>
  </si>
  <si>
    <t>Obésité morbide</t>
  </si>
  <si>
    <t>act légère</t>
  </si>
  <si>
    <t>act modéré</t>
  </si>
  <si>
    <t>DEJ</t>
  </si>
  <si>
    <t>act intense</t>
  </si>
  <si>
    <t>HYPOC</t>
  </si>
  <si>
    <r>
      <rPr>
        <sz val="11"/>
        <color rgb="FF000000"/>
        <rFont val="Calibri"/>
        <family val="2"/>
      </rPr>
      <t>cholestérol total :</t>
    </r>
    <r>
      <rPr>
        <sz val="11"/>
        <color rgb="FF376092"/>
        <rFont val="Calibri"/>
        <family val="2"/>
      </rPr>
      <t xml:space="preserve">                                         </t>
    </r>
  </si>
  <si>
    <t>(norme &lt; 2g/l)</t>
  </si>
  <si>
    <t>HDL :</t>
  </si>
  <si>
    <t>(norme &gt; 0,60g/l)</t>
  </si>
  <si>
    <t>LDL:</t>
  </si>
  <si>
    <t>(norme 1à 2,2 g/l)</t>
  </si>
  <si>
    <t>TG :    (norme &lt;1,5g/l)</t>
  </si>
  <si>
    <t xml:space="preserve">Tension : </t>
  </si>
  <si>
    <t>(norme &lt; 13/8)</t>
  </si>
  <si>
    <t>Diabète</t>
  </si>
  <si>
    <t>(norme &lt;1,26g/l)</t>
  </si>
  <si>
    <t>Pb de transit :</t>
  </si>
  <si>
    <t>%</t>
  </si>
  <si>
    <t>KCAL</t>
  </si>
  <si>
    <t>G</t>
  </si>
  <si>
    <t>Prot/kg</t>
  </si>
  <si>
    <t>PROT</t>
  </si>
  <si>
    <t>LIP</t>
  </si>
  <si>
    <t>GLU</t>
  </si>
  <si>
    <t>kcal</t>
  </si>
  <si>
    <t>ALIMENTS</t>
  </si>
  <si>
    <t>Qté</t>
  </si>
  <si>
    <t>LIPIDE</t>
  </si>
  <si>
    <t>GLUCIDE</t>
  </si>
  <si>
    <t>GS</t>
  </si>
  <si>
    <t>GC</t>
  </si>
  <si>
    <t>AGS</t>
  </si>
  <si>
    <t>CA+</t>
  </si>
  <si>
    <t>FER</t>
  </si>
  <si>
    <t>PETIT D</t>
  </si>
  <si>
    <t>COLL</t>
  </si>
  <si>
    <t>GOUTER</t>
  </si>
  <si>
    <t>DINER</t>
  </si>
  <si>
    <t>LAIT</t>
  </si>
  <si>
    <t>LAITAGE (unité)</t>
  </si>
  <si>
    <t>YAOURT BRASSE</t>
  </si>
  <si>
    <t>YAOURT GRECQUE</t>
  </si>
  <si>
    <t>YAOURT NATURE O%</t>
  </si>
  <si>
    <t xml:space="preserve">YAOURT NATURE </t>
  </si>
  <si>
    <t>YAOURT NATURE SUCRE</t>
  </si>
  <si>
    <t>YAOURT AUX FRUITS</t>
  </si>
  <si>
    <t>YAOURT FRUIT O% MG</t>
  </si>
  <si>
    <t>YAOURT AROM O% MG, SS SUC AJ</t>
  </si>
  <si>
    <t>FROMAGE BLANC 20%</t>
  </si>
  <si>
    <t>FROMAGE BLANC 0%</t>
  </si>
  <si>
    <t>FJORD Nature</t>
  </si>
  <si>
    <t>FAISSELLE (riand)</t>
  </si>
  <si>
    <t>PETIT SUISSE 30% nature (pour 100)</t>
  </si>
  <si>
    <t>ACTIMEL</t>
  </si>
  <si>
    <t>ACTIVIA nature</t>
  </si>
  <si>
    <t>DANETTE (par pot)</t>
  </si>
  <si>
    <t>FLAMBY (par pot)</t>
  </si>
  <si>
    <t>RIZ AU LAIT (par pot)</t>
  </si>
  <si>
    <t>RIZ AU LAIT vanille (par pot)</t>
  </si>
  <si>
    <t>GATEAU DE RIZ AU CARAMEL</t>
  </si>
  <si>
    <t>PETIT POT LA LAITIERE Chocolat (par pot)</t>
  </si>
  <si>
    <t>PETIT POT LA LAITIERE vanille (par pot)</t>
  </si>
  <si>
    <t>PETIT POT LA LAITIERE caramel (par pot)</t>
  </si>
  <si>
    <t>CREME CARAMEL La LAITIERE (par pot)</t>
  </si>
  <si>
    <t>FLAN CARAMEL La LAITIERE (par pot)</t>
  </si>
  <si>
    <t>MOUSSE CHOCO LAIT  La Laitière (par pot 59g)</t>
  </si>
  <si>
    <t>FROMAGE</t>
  </si>
  <si>
    <t>TARTARE (pour1 = 16g)</t>
  </si>
  <si>
    <t>KIRI (pour 1 = 20g)</t>
  </si>
  <si>
    <t>BABYBEL (pour 1 = 30g)</t>
  </si>
  <si>
    <t>LA VACHE QUI RIT (pour 1 = 16g)</t>
  </si>
  <si>
    <t>PETIT LOUIS (pour 1 = 20g)</t>
  </si>
  <si>
    <t>CARRE FRAIS (pour 1 = 25g)</t>
  </si>
  <si>
    <t>CARRE FRAIS 0%</t>
  </si>
  <si>
    <t>PHILADELPHIA MILKA (pr  100g)</t>
  </si>
  <si>
    <t>PHILADELPHIA (pour 100g)</t>
  </si>
  <si>
    <t>PHILADELPHIE Light</t>
  </si>
  <si>
    <t>PHILADELPHIA saumon</t>
  </si>
  <si>
    <t>BROUSSE (pour 100g)</t>
  </si>
  <si>
    <t>FETA</t>
  </si>
  <si>
    <t>RICOTTA (pr 100g)</t>
  </si>
  <si>
    <t>MOZZARELLA (pr 100g)</t>
  </si>
  <si>
    <t>PAIN</t>
  </si>
  <si>
    <t>FARINE DE  BLE</t>
  </si>
  <si>
    <t>CEREALE</t>
  </si>
  <si>
    <t>CORN FLACKES</t>
  </si>
  <si>
    <t>FITNESS Choco lait</t>
  </si>
  <si>
    <t>SPECIAL K aux chocolats lait/noir</t>
  </si>
  <si>
    <t>COUNTRY CRIPS lait</t>
  </si>
  <si>
    <t>BISCOTTES (1 = 10g)</t>
  </si>
  <si>
    <t>TRANCHE DE PAIN GRILLE (pr 1)</t>
  </si>
  <si>
    <t>TARTINE GRILLE AU FROMENT Cracotte</t>
  </si>
  <si>
    <t>TARTINE CRAQUANTE GOUT BRICOHE Cracotte</t>
  </si>
  <si>
    <t>CRACOTTE GOURMANDE CEREALE BISCUITE</t>
  </si>
  <si>
    <t>CRAQUINETTE CHOCO cracotte (pr 1)</t>
  </si>
  <si>
    <t>CRAQUINETTE FRAMBOISE cracotte (pr 1)</t>
  </si>
  <si>
    <t>KRISPROLLS (pour 1)</t>
  </si>
  <si>
    <t>KRISPROLLS Pain sudéois complet</t>
  </si>
  <si>
    <t>KRISPROLLS Pain sudéois dorée</t>
  </si>
  <si>
    <t>PAIN DE MIE (1 = 25g)</t>
  </si>
  <si>
    <t>PAIN DE MIE sandwich (pour 1=40g)</t>
  </si>
  <si>
    <t>VIENNOISERIE</t>
  </si>
  <si>
    <t>PAIN CHOCOLAT (1=68g)</t>
  </si>
  <si>
    <t>PAIN AU CHOCOLAT La boulangère (pr 1)</t>
  </si>
  <si>
    <t>PAIN AUX RAISIN (1 = 80g)</t>
  </si>
  <si>
    <t>PAIN AUX RAISIN Pasquier (pr 1)</t>
  </si>
  <si>
    <t>PAIN AU LAIT (1 = 35g)</t>
  </si>
  <si>
    <t>PAIN AU LAIT Pasquier (pr 1)</t>
  </si>
  <si>
    <t>PAIN AU LAIT AUX PEPITES CHOCO pasquier</t>
  </si>
  <si>
    <t>CROISSANT ( 1 = 47g)</t>
  </si>
  <si>
    <t>CROISSANT au levain Pasquier (pr 1)</t>
  </si>
  <si>
    <t>BRIOCHE TRANCHEE Harrys nature</t>
  </si>
  <si>
    <t>BRICOHE TRESSE</t>
  </si>
  <si>
    <t>CREPE WAOU (pour 1)</t>
  </si>
  <si>
    <t>CAKE AUX FRUITS (pour 1=30g)</t>
  </si>
  <si>
    <t>GALETTE DES ROIS</t>
  </si>
  <si>
    <t>PATE FEUILLETE (par part 40g)</t>
  </si>
  <si>
    <t>PATE BRISE (par part 40g)</t>
  </si>
  <si>
    <t>PATE SABLEE (par part 40g)</t>
  </si>
  <si>
    <t>PATE A PIZZA ronde et fine (par part 40g)</t>
  </si>
  <si>
    <t>BARRE DE CEREALE spé K</t>
  </si>
  <si>
    <t>BARRE DE CEREALE chocolat</t>
  </si>
  <si>
    <t>BARRE DE CEREALE Granny équili</t>
  </si>
  <si>
    <t>BARRE DE CEREALE Chocolat blanc GRANY</t>
  </si>
  <si>
    <t>BARRE DE CEREALE Noisette chocolat au lait GRANY</t>
  </si>
  <si>
    <t>GATEAU DIETETIQUE</t>
  </si>
  <si>
    <t>Biscuit gGerblé CompleT AU GERME DE BLE (pour 1)</t>
  </si>
  <si>
    <t>Biscuit Gerblé CHOCO-FONDANT (pour 1)</t>
  </si>
  <si>
    <t>GALETTE DE RIZ gerblé (pour 1)</t>
  </si>
  <si>
    <t>GALETTE DE MAIS gerblé (pour 1)</t>
  </si>
  <si>
    <t>GATEAUX</t>
  </si>
  <si>
    <t>GRANOLA</t>
  </si>
  <si>
    <t>GAUFRE LIEGEOISE CHOCOLAT (pr 1)</t>
  </si>
  <si>
    <t>GAUFRE LIEGEOISE lotus (pr 1 = 50g)</t>
  </si>
  <si>
    <t>BARQUETTE 3 Chatons (pr 1)</t>
  </si>
  <si>
    <t>BN choco lait (pr 1)</t>
  </si>
  <si>
    <t>BN vanille (pr 1)</t>
  </si>
  <si>
    <t>COOKIES (pr 1)</t>
  </si>
  <si>
    <t>PRINCE (pr 1)</t>
  </si>
  <si>
    <t>PETIT LU (pr 1)</t>
  </si>
  <si>
    <t>SPECULOOS</t>
  </si>
  <si>
    <t>LU PETIT DEJ pr 100g (4 biscuit = 50g)</t>
  </si>
  <si>
    <t>LU PETIT DEJ céréal comp (1 =12,5g)</t>
  </si>
  <si>
    <t>OREO Chocolat blanc (pour 1)</t>
  </si>
  <si>
    <t>SAVANE Marbré (pour 1 = 30g)</t>
  </si>
  <si>
    <t>KINDER BUENO (par barre)</t>
  </si>
  <si>
    <t>KiNDER Maxi (par barre)</t>
  </si>
  <si>
    <t>M&amp;Ms (1 sachet = 20g)</t>
  </si>
  <si>
    <t>SCHOKOBON (pr 1 bonbon =6g)</t>
  </si>
  <si>
    <t>MIKADO Choco blanc ( pr 1)   La boite 70g</t>
  </si>
  <si>
    <t>VIANDE POISSON ŒUF</t>
  </si>
  <si>
    <t>VPO</t>
  </si>
  <si>
    <t>ŒUF (pour1)</t>
  </si>
  <si>
    <r>
      <rPr>
        <sz val="11"/>
        <color rgb="FFFF0000"/>
        <rFont val="Calibri"/>
        <family val="2"/>
      </rPr>
      <t xml:space="preserve">JAMBON BLANC CUIT </t>
    </r>
    <r>
      <rPr>
        <i/>
        <sz val="10"/>
        <color rgb="FFFF0000"/>
        <rFont val="Calibri"/>
        <family val="2"/>
      </rPr>
      <t>(tranche 45g)</t>
    </r>
  </si>
  <si>
    <t>JAMBON HERTA a l'étouffé (tranche 45g)</t>
  </si>
  <si>
    <t>JAMBON HERTA Fumé (tanche 30g)</t>
  </si>
  <si>
    <r>
      <rPr>
        <sz val="11"/>
        <color rgb="FFFF0000"/>
        <rFont val="Calibri"/>
        <family val="2"/>
      </rPr>
      <t xml:space="preserve">BLANC POULET FINE HERBE </t>
    </r>
    <r>
      <rPr>
        <i/>
        <sz val="9"/>
        <color rgb="FFFF0000"/>
        <rFont val="Calibri"/>
        <family val="2"/>
      </rPr>
      <t>(tranche 30g)</t>
    </r>
  </si>
  <si>
    <r>
      <rPr>
        <sz val="11"/>
        <color rgb="FFFF0000"/>
        <rFont val="Calibri"/>
        <family val="2"/>
      </rPr>
      <t xml:space="preserve">BLANC DE POULET/DINDE </t>
    </r>
    <r>
      <rPr>
        <i/>
        <sz val="9"/>
        <color rgb="FFFF0000"/>
        <rFont val="Calibri"/>
        <family val="2"/>
      </rPr>
      <t>(par tranche 35g)</t>
    </r>
  </si>
  <si>
    <t>TRANCHE ROTI DE PORC CUIT (par tranche 45g)</t>
  </si>
  <si>
    <t>LARDONS EN DE (herta)</t>
  </si>
  <si>
    <t xml:space="preserve">DE D'EPAULE </t>
  </si>
  <si>
    <t>QUENELLES AU BROCHET (1 = 80g)</t>
  </si>
  <si>
    <t>KNACKI (pr 1 = 35g)</t>
  </si>
  <si>
    <t>MAQUEREAU vin blanc ( par boite)</t>
  </si>
  <si>
    <t>SURIMI (pour 1 = 15g)</t>
  </si>
  <si>
    <t xml:space="preserve">SAUMON FUME </t>
  </si>
  <si>
    <r>
      <rPr>
        <sz val="11"/>
        <color rgb="FFFF0000"/>
        <rFont val="Calibri"/>
        <family val="2"/>
      </rPr>
      <t xml:space="preserve">POISSON PANE Croustibat (pr 1) </t>
    </r>
    <r>
      <rPr>
        <i/>
        <sz val="9"/>
        <color rgb="FFFF0000"/>
        <rFont val="Calibri"/>
        <family val="2"/>
      </rPr>
      <t>long</t>
    </r>
  </si>
  <si>
    <r>
      <rPr>
        <sz val="11"/>
        <color rgb="FFFF0000"/>
        <rFont val="Calibri"/>
        <family val="2"/>
      </rPr>
      <t>POISSON PANE Iglo (pr 1 )</t>
    </r>
    <r>
      <rPr>
        <i/>
        <sz val="9"/>
        <color rgb="FFFF0000"/>
        <rFont val="Calibri"/>
        <family val="2"/>
      </rPr>
      <t xml:space="preserve"> long</t>
    </r>
  </si>
  <si>
    <r>
      <rPr>
        <sz val="11"/>
        <color rgb="FFFF0000"/>
        <rFont val="Calibri"/>
        <family val="2"/>
      </rPr>
      <t xml:space="preserve">POISSON PANE Carrefour filet de colin (pr 1)  </t>
    </r>
    <r>
      <rPr>
        <i/>
        <sz val="11"/>
        <color rgb="FFFF0000"/>
        <rFont val="Calibri"/>
        <family val="2"/>
      </rPr>
      <t>carré</t>
    </r>
  </si>
  <si>
    <t>NUGGETS DE POISSON Findus (pr 1)</t>
  </si>
  <si>
    <t>CORDON BLEU (unité)</t>
  </si>
  <si>
    <t>NUGGETS DE POULET (unité)</t>
  </si>
  <si>
    <t>PATE et TERRINE</t>
  </si>
  <si>
    <t>RILETTE</t>
  </si>
  <si>
    <t>SAUCISSON SEC</t>
  </si>
  <si>
    <t>SALADE piémentaise (pr 1)</t>
  </si>
  <si>
    <t>SALADE a la criée catalane (pr 1)</t>
  </si>
  <si>
    <t>SALADE a la criée italienne (pr 1)</t>
  </si>
  <si>
    <t>SALADIERE niçoise</t>
  </si>
  <si>
    <t>SALADIERE a la parisienne</t>
  </si>
  <si>
    <t>SALADIERE Riz et thon</t>
  </si>
  <si>
    <t>SALADIERE toscane</t>
  </si>
  <si>
    <t>FECULENT</t>
  </si>
  <si>
    <t xml:space="preserve">PUREES DESHYDRATEES </t>
  </si>
  <si>
    <t>PIZZA aux Fromage</t>
  </si>
  <si>
    <t>PIZZA Royale</t>
  </si>
  <si>
    <t>TORTILLA DE BLE (pr 1)</t>
  </si>
  <si>
    <t>QUICHE LORRAINE</t>
  </si>
  <si>
    <t xml:space="preserve">PATE QUICHE CHAMALIERE </t>
  </si>
  <si>
    <t>QUICHE LORRAINE surgelé (la boite 400g)</t>
  </si>
  <si>
    <t>TARTE AUX POIREAUX congelé (la boite 400g)</t>
  </si>
  <si>
    <t>TARTE CHEVRE ET LEGUME surgelé (la boite 400g)</t>
  </si>
  <si>
    <t>TARTE SAUMON EPINARD surgelé (boite 400g)</t>
  </si>
  <si>
    <t>CREPES JAMBON EMMENTAL surgelé (pr 1)</t>
  </si>
  <si>
    <t>CREPES AU FROMAGE surgelé (pr 1)</t>
  </si>
  <si>
    <t>FRITES</t>
  </si>
  <si>
    <t>FRIAND (pour 1)</t>
  </si>
  <si>
    <t>BUN'S bolognaise congélé (pr 1)</t>
  </si>
  <si>
    <t>BUN'S jambon ketchup congélé (pr 1)</t>
  </si>
  <si>
    <t>BUN'S poulet/fromage frais congélé (pr 1)</t>
  </si>
  <si>
    <t>BUN'S jambon fromage oignon (pr 1)</t>
  </si>
  <si>
    <t>FEUILLETE JAMBON EMMENTAl surgelé (pr1)</t>
  </si>
  <si>
    <t>FEUILLETE CHEVRE EPINARDsurgelé (pr1)</t>
  </si>
  <si>
    <t>GATEAU APERITIF</t>
  </si>
  <si>
    <t>CURLY (pr 100g)</t>
  </si>
  <si>
    <t>PRINGLES</t>
  </si>
  <si>
    <t>CHIPS (Mini paquet 30g)</t>
  </si>
  <si>
    <t>FAST FOOD</t>
  </si>
  <si>
    <t>BIG MAC</t>
  </si>
  <si>
    <t>CHEESEBURGER</t>
  </si>
  <si>
    <t>CHAROLAIS</t>
  </si>
  <si>
    <t>DOUBLE CHEESE</t>
  </si>
  <si>
    <t>HAMBURGER</t>
  </si>
  <si>
    <t>CROQUE MC DO</t>
  </si>
  <si>
    <t>MC CHICKEN</t>
  </si>
  <si>
    <t>MC FISH</t>
  </si>
  <si>
    <t>ROYAL BACON/CHEESE</t>
  </si>
  <si>
    <t>ROYAL DELUXE</t>
  </si>
  <si>
    <t>ROYAL BBQ</t>
  </si>
  <si>
    <t>280 normal</t>
  </si>
  <si>
    <t>280 povre</t>
  </si>
  <si>
    <t>280 bernaise</t>
  </si>
  <si>
    <t>280 piment</t>
  </si>
  <si>
    <t>CBO</t>
  </si>
  <si>
    <t>NUGGETS MCDO (pr 1)</t>
  </si>
  <si>
    <t>NUGGETS MCDO (pr 4)</t>
  </si>
  <si>
    <t>MC WRAP Poulet-Bacon</t>
  </si>
  <si>
    <t>MC WRAP Poisson</t>
  </si>
  <si>
    <t>MC Wrap chèvre</t>
  </si>
  <si>
    <t>Ptit WRAP ranch</t>
  </si>
  <si>
    <t>FILET O FISH</t>
  </si>
  <si>
    <t>SALADE CESEAR</t>
  </si>
  <si>
    <t>SALADE CHEVRE</t>
  </si>
  <si>
    <t>SAUCE POMME FRITE</t>
  </si>
  <si>
    <t>SAUCE DELUX</t>
  </si>
  <si>
    <t>SAUCE BBQ</t>
  </si>
  <si>
    <t>SAUCE CURRY</t>
  </si>
  <si>
    <t>SAUCE CHINOISE</t>
  </si>
  <si>
    <t>POTATOS (moyenne p°)</t>
  </si>
  <si>
    <t>FRITE (moyenne p°)</t>
  </si>
  <si>
    <t>LEGUME</t>
  </si>
  <si>
    <r>
      <rPr>
        <sz val="11"/>
        <color rgb="FF00B050"/>
        <rFont val="Calibri"/>
        <family val="2"/>
      </rPr>
      <t>PALET DE LEGUME PICARD</t>
    </r>
    <r>
      <rPr>
        <i/>
        <sz val="9"/>
        <color rgb="FF00B050"/>
        <rFont val="Calibri"/>
        <family val="2"/>
      </rPr>
      <t xml:space="preserve"> (préfrit : courgette, ptit pois, carotte)</t>
    </r>
  </si>
  <si>
    <t>4 FONDANTS DE LEGUMES PICARD (parmesan, basilic)</t>
  </si>
  <si>
    <r>
      <rPr>
        <sz val="11"/>
        <color rgb="FF00B050"/>
        <rFont val="Calibri"/>
        <family val="2"/>
      </rPr>
      <t xml:space="preserve">4 MINIS GRATINS DE LEGUMES PICARD </t>
    </r>
    <r>
      <rPr>
        <i/>
        <sz val="8"/>
        <color rgb="FF00B050"/>
        <rFont val="Calibri"/>
        <family val="2"/>
      </rPr>
      <t>(carotte, courgette, brocolis)</t>
    </r>
  </si>
  <si>
    <t>2 TOURBILLONS DE LEGUMES DU SOLEIL PICARD</t>
  </si>
  <si>
    <t>SALADE VERTE CRUE</t>
  </si>
  <si>
    <t>SOUPE DESHY (veloute légume) /100ml</t>
  </si>
  <si>
    <t>SOUPE DESHY (veloute tomate) /100ml</t>
  </si>
  <si>
    <t>SOUPE DESHY (leg potager) /100ml</t>
  </si>
  <si>
    <t>SOUPE DESHY (bouill chinoi) /100ml</t>
  </si>
  <si>
    <t>SOUPE DESHY  (sveltesse chinoi) / 100ml</t>
  </si>
  <si>
    <t>SOUPE DESHY (sveltesse poule,pate) /100ml</t>
  </si>
  <si>
    <t>SOUPE BRIQUE (8légumes)</t>
  </si>
  <si>
    <t>SOUPE BRIQUE (pursoup poireau-pdt)</t>
  </si>
  <si>
    <t>SOUPE BRIQUE (poisson medit)</t>
  </si>
  <si>
    <t>SOUPE BRIQUE (velouté cepe-bolet)</t>
  </si>
  <si>
    <t>SOUPE BRIQUE (velouté  courgette)</t>
  </si>
  <si>
    <t>FRUIT</t>
  </si>
  <si>
    <t>PISTACHE</t>
  </si>
  <si>
    <t>CACAHUETE</t>
  </si>
  <si>
    <t>NOIX DE CAJOU</t>
  </si>
  <si>
    <t>NOIX</t>
  </si>
  <si>
    <t>COMPOTE POMME (par pot)</t>
  </si>
  <si>
    <t>COMPOTE POMME SS SUC AJ</t>
  </si>
  <si>
    <t xml:space="preserve">COMPOTE POMME BANANE Allégé en sucre </t>
  </si>
  <si>
    <t>MATIERE GRASSE</t>
  </si>
  <si>
    <t>BEURRE</t>
  </si>
  <si>
    <t>HUILE</t>
  </si>
  <si>
    <t>MARGARINE</t>
  </si>
  <si>
    <t xml:space="preserve">CREME FRAICHE EPAISSE </t>
  </si>
  <si>
    <t>CREME FRAICHE EPAISSE 15%</t>
  </si>
  <si>
    <t>CREME FRAICHE EXTRA LEGERE 3% (1 brique = 20cl)</t>
  </si>
  <si>
    <t>CREME FRAICHE Semi Epaisse EXTRA LEGERE 3%</t>
  </si>
  <si>
    <t>MAYONNAISE</t>
  </si>
  <si>
    <t>KETCHUP</t>
  </si>
  <si>
    <t>SAUCE BOLOGNAISE (par 1c = 10g)</t>
  </si>
  <si>
    <t>SAUCE CARBONARA (par 1c = 10g)</t>
  </si>
  <si>
    <t>SAUCE PESTO (par 1c = 10g)</t>
  </si>
  <si>
    <t>BOISSONS</t>
  </si>
  <si>
    <t>COCA COLA (par canette = 33cl = 330ml)</t>
  </si>
  <si>
    <t>COCA  en litre</t>
  </si>
  <si>
    <t>OASIS</t>
  </si>
  <si>
    <t>OASIS (par canette)</t>
  </si>
  <si>
    <t>ORANGINA (par canette = 33cl)</t>
  </si>
  <si>
    <t>FANTA</t>
  </si>
  <si>
    <t>LIMONADE</t>
  </si>
  <si>
    <t>ICE TEA</t>
  </si>
  <si>
    <t>JUS D'ORANGE</t>
  </si>
  <si>
    <t>MINUTE MAID (par canette = 33cl)</t>
  </si>
  <si>
    <t>PRODUITS SUCRES</t>
  </si>
  <si>
    <t>GLACE ( par 1 boules = 50ml)</t>
  </si>
  <si>
    <t>GLACE ( 1 cône = 120ml)</t>
  </si>
  <si>
    <t>GLACE VANILLE CARTE D'OR</t>
  </si>
  <si>
    <t>SORBET Framboise ( boule = 40g)</t>
  </si>
  <si>
    <t>6 TIMBALES DE SORBET PICARD MANGUE (pour 1)</t>
  </si>
  <si>
    <t>6 TIMBALES DE SORBET PICARD CITRON (pour 1)</t>
  </si>
  <si>
    <t>6 TIMBALES DE SORBET PICARD FRAMBOISE (pour 1)</t>
  </si>
  <si>
    <t>CONFITURE</t>
  </si>
  <si>
    <t>MIEL (1 cac = 10g)</t>
  </si>
  <si>
    <t>NUTELLA (1cac = 10g)</t>
  </si>
  <si>
    <t>CHOCOLAT</t>
  </si>
  <si>
    <t>LINDOR lait (pour 1)</t>
  </si>
  <si>
    <t>LINDOR noisette (pour 1)</t>
  </si>
  <si>
    <t>LINDOR noir 70% (pour 1)</t>
  </si>
  <si>
    <t>BOISSONS CHAUDES</t>
  </si>
  <si>
    <t>CACAO EN POUDRE SUCRE (2cac = 10g)</t>
  </si>
  <si>
    <t>NESQUIK chocolat en poudre</t>
  </si>
  <si>
    <t>CAPPUCINO (pour 1gobelet)</t>
  </si>
  <si>
    <t>CAPPUCINO Nestlé prépa instantanée (pr 1 tasse)</t>
  </si>
  <si>
    <t>CAPPUCINO Nestlé vanille prépa instanta (pr 1)</t>
  </si>
  <si>
    <t>CAFE VIENNOIS Nestlé prépa instantanée (pr 1)</t>
  </si>
  <si>
    <t>CAFE CHICORE Soluble Ricoré</t>
  </si>
  <si>
    <t>SUCRE</t>
  </si>
  <si>
    <t>total</t>
  </si>
  <si>
    <t>900mg</t>
  </si>
  <si>
    <t>16mg</t>
  </si>
  <si>
    <t>total kcal</t>
  </si>
  <si>
    <t>%kcal</t>
  </si>
  <si>
    <t>Hypo</t>
  </si>
  <si>
    <t>ALCOOL</t>
  </si>
  <si>
    <t>kcal / 100ml</t>
  </si>
  <si>
    <t xml:space="preserve">BIERRE </t>
  </si>
  <si>
    <t>CIDRE</t>
  </si>
  <si>
    <t>VIN</t>
  </si>
  <si>
    <t>CHAMPAGNE</t>
  </si>
  <si>
    <t>RICARD</t>
  </si>
  <si>
    <t>WHISKY</t>
  </si>
  <si>
    <t>VODKA</t>
  </si>
  <si>
    <t>RHUM</t>
  </si>
  <si>
    <t>PASTI</t>
  </si>
  <si>
    <t>TEQUILA</t>
  </si>
  <si>
    <t>GIN</t>
  </si>
  <si>
    <t>Régime hypocal</t>
  </si>
  <si>
    <t>Ration :</t>
  </si>
  <si>
    <t>LAITAGE</t>
  </si>
  <si>
    <t>FLOCON D’AVOINE</t>
  </si>
  <si>
    <t>PETIT BEURRE Pr 1</t>
  </si>
  <si>
    <t>AMANDE</t>
  </si>
  <si>
    <t>CACAO en Poudre</t>
  </si>
  <si>
    <t>NUTELLA</t>
  </si>
  <si>
    <t>Départ</t>
  </si>
  <si>
    <t>Suivi 1</t>
  </si>
  <si>
    <t>Suivi 2</t>
  </si>
  <si>
    <t>Suivi 3</t>
  </si>
  <si>
    <t>Suivi 4</t>
  </si>
  <si>
    <t>Suivi 5</t>
  </si>
  <si>
    <t>Suivi 6</t>
  </si>
  <si>
    <t>Suivi 7</t>
  </si>
  <si>
    <t>Suivi8</t>
  </si>
  <si>
    <t>Suivi9</t>
  </si>
  <si>
    <t>Suivi10</t>
  </si>
  <si>
    <t>Date</t>
  </si>
  <si>
    <t>Ecart au suivi</t>
  </si>
  <si>
    <t>MG %</t>
  </si>
  <si>
    <t>Mhydrique %</t>
  </si>
  <si>
    <t>Mmusculaire %</t>
  </si>
  <si>
    <t>écart total</t>
  </si>
  <si>
    <t xml:space="preserve">objectif </t>
  </si>
  <si>
    <t>Brulure :</t>
  </si>
  <si>
    <t>Remonter acide</t>
  </si>
  <si>
    <t>Ballonement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</si>
</sst>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\ %"/>
  </numFmts>
  <fonts count="5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i/>
      <sz val="11"/>
      <color rgb="FF7030A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rgb="FF7030A0"/>
      <name val="Calibri"/>
      <family val="2"/>
    </font>
    <font>
      <i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B05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11"/>
      <color rgb="FF0070C0"/>
      <name val="Calibri"/>
      <family val="2"/>
    </font>
    <font>
      <sz val="11"/>
      <color rgb="FF376092"/>
      <name val="Calibri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0070C0"/>
      <name val="Calibri"/>
      <family val="2"/>
    </font>
    <font>
      <b/>
      <sz val="11"/>
      <color rgb="FFCC6600"/>
      <name val="Calibri"/>
      <family val="2"/>
    </font>
    <font>
      <b/>
      <sz val="11"/>
      <color rgb="FFCC9900"/>
      <name val="Calibri"/>
      <family val="2"/>
    </font>
    <font>
      <sz val="11"/>
      <color rgb="FFCC9900"/>
      <name val="Calibri"/>
      <family val="2"/>
    </font>
    <font>
      <sz val="11"/>
      <color rgb="FFCC6600"/>
      <name val="Calibri"/>
      <family val="2"/>
    </font>
    <font>
      <b/>
      <sz val="11"/>
      <color rgb="FFFFFFFF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i/>
      <sz val="10"/>
      <color rgb="FFFF0000"/>
      <name val="Calibri"/>
      <family val="2"/>
    </font>
    <font>
      <i/>
      <sz val="9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00B050"/>
      <name val="Calibri"/>
      <family val="2"/>
    </font>
    <font>
      <i/>
      <sz val="9"/>
      <color rgb="FF00B050"/>
      <name val="Calibri"/>
      <family val="2"/>
    </font>
    <font>
      <i/>
      <sz val="8"/>
      <color rgb="FF00B050"/>
      <name val="Calibri"/>
      <family val="2"/>
    </font>
    <font>
      <b/>
      <sz val="11"/>
      <color rgb="FFFFC000"/>
      <name val="Calibri"/>
      <family val="2"/>
    </font>
    <font>
      <sz val="11"/>
      <color rgb="FFFFC000"/>
      <name val="Calibri"/>
      <family val="2"/>
    </font>
    <font>
      <b/>
      <sz val="11"/>
      <color rgb="FF00B0F0"/>
      <name val="Calibri"/>
      <family val="2"/>
    </font>
    <font>
      <i/>
      <sz val="11"/>
      <color rgb="FF595959"/>
      <name val="Calibri"/>
      <family val="2"/>
    </font>
    <font>
      <b/>
      <sz val="14"/>
      <color rgb="FF00B05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</font>
    <font>
      <b/>
      <u val="single"/>
      <sz val="12"/>
      <color rgb="FF7030A0"/>
      <name val="Calibri"/>
      <family val="2"/>
    </font>
    <font>
      <b/>
      <sz val="12"/>
      <color rgb="FFF79646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Times New Roman"/>
      <family val="2"/>
    </font>
    <font>
      <b/>
      <u val="single"/>
      <sz val="12"/>
      <color rgb="FF92D050"/>
      <name val="Calibri"/>
      <family val="2"/>
    </font>
    <font>
      <b/>
      <u val="single"/>
      <sz val="11"/>
      <color rgb="FF92D050"/>
      <name val="Calibri"/>
      <family val="2"/>
    </font>
    <font>
      <b/>
      <sz val="12"/>
      <color rgb="FF00B05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  <scheme val="minor"/>
    </font>
    <font>
      <sz val="12"/>
      <color rgb="FF7030A0"/>
      <name val="Calibri"/>
      <family val="2"/>
    </font>
    <font>
      <sz val="12"/>
      <color rgb="FFFFC000"/>
      <name val="Calibri"/>
      <family val="2"/>
    </font>
    <font>
      <sz val="12"/>
      <color rgb="FF00B05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346">
    <xf numFmtId="0" fontId="0" fillId="0" borderId="0" xfId="0"/>
    <xf numFmtId="0" fontId="0" fillId="0" borderId="0" xfId="0"/>
    <xf numFmtId="0" fontId="0" fillId="3" borderId="1" xfId="0" applyFont="1" applyFill="1" applyBorder="1"/>
    <xf numFmtId="0" fontId="0" fillId="3" borderId="2" xfId="0" applyFill="1" applyBorder="1"/>
    <xf numFmtId="0" fontId="0" fillId="0" borderId="0" xfId="0" applyBorder="1"/>
    <xf numFmtId="0" fontId="0" fillId="0" borderId="3" xfId="0" applyFont="1" applyBorder="1"/>
    <xf numFmtId="0" fontId="0" fillId="0" borderId="4" xfId="0" applyBorder="1"/>
    <xf numFmtId="0" fontId="0" fillId="4" borderId="5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2" xfId="0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/>
    <xf numFmtId="164" fontId="6" fillId="0" borderId="7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64" fontId="8" fillId="0" borderId="7" xfId="0" applyNumberFormat="1" applyFont="1" applyBorder="1" applyAlignment="1">
      <alignment horizontal="center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/>
    <xf numFmtId="164" fontId="0" fillId="5" borderId="1" xfId="0" applyNumberFormat="1" applyFill="1" applyBorder="1"/>
    <xf numFmtId="0" fontId="17" fillId="0" borderId="0" xfId="0" applyFont="1"/>
    <xf numFmtId="0" fontId="0" fillId="0" borderId="1" xfId="0" applyBorder="1"/>
    <xf numFmtId="0" fontId="18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0" fillId="0" borderId="8" xfId="0" applyBorder="1"/>
    <xf numFmtId="0" fontId="0" fillId="0" borderId="9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1" xfId="0" applyFont="1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0" fillId="0" borderId="13" xfId="0" applyFont="1" applyBorder="1"/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17" fillId="6" borderId="19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0" fillId="5" borderId="20" xfId="0" applyFill="1" applyBorder="1"/>
    <xf numFmtId="0" fontId="13" fillId="7" borderId="16" xfId="0" applyFont="1" applyFill="1" applyBorder="1"/>
    <xf numFmtId="0" fontId="0" fillId="7" borderId="2" xfId="0" applyFill="1" applyBorder="1"/>
    <xf numFmtId="0" fontId="0" fillId="5" borderId="18" xfId="0" applyFill="1" applyBorder="1"/>
    <xf numFmtId="0" fontId="0" fillId="7" borderId="18" xfId="0" applyFill="1" applyBorder="1"/>
    <xf numFmtId="0" fontId="15" fillId="0" borderId="8" xfId="0" applyFont="1" applyBorder="1" applyAlignment="1">
      <alignment horizontal="center"/>
    </xf>
    <xf numFmtId="0" fontId="21" fillId="0" borderId="9" xfId="0" applyFont="1" applyBorder="1"/>
    <xf numFmtId="0" fontId="15" fillId="0" borderId="9" xfId="0" applyFont="1" applyBorder="1"/>
    <xf numFmtId="0" fontId="15" fillId="0" borderId="10" xfId="0" applyFont="1" applyBorder="1"/>
    <xf numFmtId="0" fontId="10" fillId="6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0" fillId="5" borderId="10" xfId="0" applyFill="1" applyBorder="1"/>
    <xf numFmtId="0" fontId="13" fillId="7" borderId="21" xfId="0" applyFont="1" applyFill="1" applyBorder="1"/>
    <xf numFmtId="0" fontId="0" fillId="7" borderId="23" xfId="0" applyFill="1" applyBorder="1"/>
    <xf numFmtId="0" fontId="0" fillId="7" borderId="21" xfId="0" applyFill="1" applyBorder="1"/>
    <xf numFmtId="0" fontId="0" fillId="7" borderId="22" xfId="0" applyFill="1" applyBorder="1"/>
    <xf numFmtId="0" fontId="15" fillId="0" borderId="11" xfId="0" applyFont="1" applyBorder="1" applyAlignment="1">
      <alignment horizontal="center"/>
    </xf>
    <xf numFmtId="0" fontId="21" fillId="0" borderId="7" xfId="0" applyFont="1" applyBorder="1"/>
    <xf numFmtId="0" fontId="15" fillId="0" borderId="7" xfId="0" applyFont="1" applyBorder="1"/>
    <xf numFmtId="0" fontId="15" fillId="0" borderId="12" xfId="0" applyFont="1" applyBorder="1"/>
    <xf numFmtId="0" fontId="13" fillId="5" borderId="11" xfId="0" applyFont="1" applyFill="1" applyBorder="1" applyAlignment="1">
      <alignment horizontal="center"/>
    </xf>
    <xf numFmtId="0" fontId="0" fillId="5" borderId="12" xfId="0" applyFill="1" applyBorder="1"/>
    <xf numFmtId="0" fontId="13" fillId="7" borderId="21" xfId="0" applyFont="1" applyFill="1" applyBorder="1" applyAlignment="1">
      <alignment horizontal="center"/>
    </xf>
    <xf numFmtId="0" fontId="21" fillId="0" borderId="11" xfId="0" applyFont="1" applyBorder="1"/>
    <xf numFmtId="0" fontId="0" fillId="0" borderId="24" xfId="0" applyBorder="1"/>
    <xf numFmtId="0" fontId="21" fillId="0" borderId="25" xfId="0" applyFont="1" applyBorder="1"/>
    <xf numFmtId="0" fontId="21" fillId="0" borderId="26" xfId="0" applyFont="1" applyBorder="1"/>
    <xf numFmtId="0" fontId="15" fillId="0" borderId="26" xfId="0" applyFont="1" applyBorder="1"/>
    <xf numFmtId="0" fontId="15" fillId="0" borderId="27" xfId="0" applyFont="1" applyBorder="1"/>
    <xf numFmtId="0" fontId="10" fillId="6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7" borderId="28" xfId="0" applyFont="1" applyFill="1" applyBorder="1"/>
    <xf numFmtId="0" fontId="13" fillId="7" borderId="28" xfId="0" applyFont="1" applyFill="1" applyBorder="1" applyAlignment="1">
      <alignment horizontal="center"/>
    </xf>
    <xf numFmtId="0" fontId="0" fillId="5" borderId="27" xfId="0" applyFill="1" applyBorder="1"/>
    <xf numFmtId="0" fontId="15" fillId="8" borderId="26" xfId="0" applyFont="1" applyFill="1" applyBorder="1"/>
    <xf numFmtId="0" fontId="15" fillId="8" borderId="12" xfId="0" applyFont="1" applyFill="1" applyBorder="1"/>
    <xf numFmtId="0" fontId="10" fillId="8" borderId="21" xfId="0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3" fillId="0" borderId="7" xfId="0" applyFont="1" applyBorder="1"/>
    <xf numFmtId="0" fontId="23" fillId="0" borderId="7" xfId="0" applyFont="1" applyBorder="1"/>
    <xf numFmtId="0" fontId="23" fillId="0" borderId="12" xfId="0" applyFont="1" applyBorder="1"/>
    <xf numFmtId="0" fontId="10" fillId="6" borderId="21" xfId="0" applyFont="1" applyFill="1" applyBorder="1"/>
    <xf numFmtId="0" fontId="10" fillId="6" borderId="22" xfId="0" applyFont="1" applyFill="1" applyBorder="1"/>
    <xf numFmtId="0" fontId="10" fillId="8" borderId="22" xfId="0" applyFont="1" applyFill="1" applyBorder="1"/>
    <xf numFmtId="0" fontId="10" fillId="4" borderId="22" xfId="0" applyFont="1" applyFill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24" fillId="0" borderId="7" xfId="0" applyFont="1" applyBorder="1"/>
    <xf numFmtId="0" fontId="25" fillId="0" borderId="11" xfId="0" applyFont="1" applyBorder="1"/>
    <xf numFmtId="0" fontId="25" fillId="0" borderId="11" xfId="0" applyFont="1" applyBorder="1"/>
    <xf numFmtId="0" fontId="11" fillId="0" borderId="11" xfId="0" applyFont="1" applyBorder="1"/>
    <xf numFmtId="0" fontId="26" fillId="9" borderId="11" xfId="0" applyFont="1" applyFill="1" applyBorder="1" applyAlignment="1">
      <alignment horizontal="center"/>
    </xf>
    <xf numFmtId="0" fontId="24" fillId="8" borderId="7" xfId="0" applyFont="1" applyFill="1" applyBorder="1"/>
    <xf numFmtId="0" fontId="23" fillId="8" borderId="7" xfId="0" applyFont="1" applyFill="1" applyBorder="1"/>
    <xf numFmtId="0" fontId="23" fillId="8" borderId="12" xfId="0" applyFont="1" applyFill="1" applyBorder="1"/>
    <xf numFmtId="0" fontId="20" fillId="8" borderId="12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0" fillId="8" borderId="12" xfId="0" applyFill="1" applyBorder="1"/>
    <xf numFmtId="0" fontId="13" fillId="8" borderId="21" xfId="0" applyFont="1" applyFill="1" applyBorder="1"/>
    <xf numFmtId="0" fontId="0" fillId="8" borderId="22" xfId="0" applyFill="1" applyBorder="1"/>
    <xf numFmtId="0" fontId="13" fillId="8" borderId="21" xfId="0" applyFont="1" applyFill="1" applyBorder="1" applyAlignment="1">
      <alignment horizontal="center"/>
    </xf>
    <xf numFmtId="0" fontId="22" fillId="0" borderId="11" xfId="0" applyFont="1" applyBorder="1"/>
    <xf numFmtId="0" fontId="27" fillId="0" borderId="11" xfId="0" applyFont="1" applyBorder="1"/>
    <xf numFmtId="0" fontId="27" fillId="0" borderId="7" xfId="0" applyFont="1" applyBorder="1"/>
    <xf numFmtId="0" fontId="28" fillId="0" borderId="7" xfId="0" applyFont="1" applyBorder="1"/>
    <xf numFmtId="0" fontId="28" fillId="0" borderId="12" xfId="0" applyFont="1" applyBorder="1"/>
    <xf numFmtId="0" fontId="27" fillId="0" borderId="11" xfId="0" applyFont="1" applyBorder="1"/>
    <xf numFmtId="0" fontId="29" fillId="8" borderId="7" xfId="0" applyFont="1" applyFill="1" applyBorder="1"/>
    <xf numFmtId="0" fontId="30" fillId="8" borderId="7" xfId="0" applyFont="1" applyFill="1" applyBorder="1"/>
    <xf numFmtId="0" fontId="30" fillId="8" borderId="12" xfId="0" applyFont="1" applyFill="1" applyBorder="1"/>
    <xf numFmtId="0" fontId="8" fillId="0" borderId="11" xfId="0" applyFont="1" applyBorder="1" applyAlignment="1">
      <alignment horizontal="center"/>
    </xf>
    <xf numFmtId="0" fontId="4" fillId="0" borderId="7" xfId="0" applyFont="1" applyBorder="1"/>
    <xf numFmtId="0" fontId="8" fillId="0" borderId="7" xfId="0" applyFont="1" applyBorder="1"/>
    <xf numFmtId="0" fontId="13" fillId="10" borderId="12" xfId="0" applyFont="1" applyFill="1" applyBorder="1"/>
    <xf numFmtId="0" fontId="8" fillId="0" borderId="11" xfId="0" applyFont="1" applyBorder="1" applyAlignment="1">
      <alignment horizontal="left"/>
    </xf>
    <xf numFmtId="0" fontId="8" fillId="0" borderId="12" xfId="0" applyFont="1" applyBorder="1"/>
    <xf numFmtId="0" fontId="4" fillId="0" borderId="11" xfId="0" applyFont="1" applyBorder="1" applyAlignment="1">
      <alignment horizontal="left"/>
    </xf>
    <xf numFmtId="0" fontId="8" fillId="11" borderId="12" xfId="0" applyFont="1" applyFill="1" applyBorder="1"/>
    <xf numFmtId="0" fontId="4" fillId="0" borderId="11" xfId="0" applyFont="1" applyBorder="1"/>
    <xf numFmtId="0" fontId="0" fillId="0" borderId="7" xfId="0" applyBorder="1"/>
    <xf numFmtId="0" fontId="8" fillId="0" borderId="7" xfId="0" applyFont="1" applyBorder="1"/>
    <xf numFmtId="0" fontId="8" fillId="0" borderId="12" xfId="0" applyFont="1" applyBorder="1"/>
    <xf numFmtId="0" fontId="11" fillId="0" borderId="11" xfId="0" applyFont="1" applyBorder="1" applyAlignment="1">
      <alignment horizontal="center"/>
    </xf>
    <xf numFmtId="0" fontId="4" fillId="8" borderId="7" xfId="0" applyFont="1" applyFill="1" applyBorder="1"/>
    <xf numFmtId="0" fontId="8" fillId="8" borderId="7" xfId="0" applyFont="1" applyFill="1" applyBorder="1"/>
    <xf numFmtId="0" fontId="8" fillId="8" borderId="12" xfId="0" applyFont="1" applyFill="1" applyBorder="1"/>
    <xf numFmtId="0" fontId="0" fillId="8" borderId="21" xfId="0" applyFill="1" applyBorder="1"/>
    <xf numFmtId="0" fontId="11" fillId="0" borderId="30" xfId="0" applyFont="1" applyBorder="1" applyAlignment="1">
      <alignment horizontal="center"/>
    </xf>
    <xf numFmtId="0" fontId="13" fillId="0" borderId="7" xfId="0" applyFont="1" applyBorder="1"/>
    <xf numFmtId="0" fontId="13" fillId="8" borderId="7" xfId="0" applyFont="1" applyFill="1" applyBorder="1"/>
    <xf numFmtId="0" fontId="13" fillId="0" borderId="12" xfId="0" applyFont="1" applyBorder="1"/>
    <xf numFmtId="0" fontId="0" fillId="0" borderId="11" xfId="0" applyFont="1" applyBorder="1" applyAlignment="1">
      <alignment horizontal="left"/>
    </xf>
    <xf numFmtId="0" fontId="13" fillId="0" borderId="7" xfId="0" applyFont="1" applyBorder="1"/>
    <xf numFmtId="0" fontId="0" fillId="0" borderId="11" xfId="0" applyFont="1" applyBorder="1"/>
    <xf numFmtId="0" fontId="13" fillId="0" borderId="11" xfId="0" applyFont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0" fillId="7" borderId="32" xfId="0" applyFill="1" applyBorder="1"/>
    <xf numFmtId="0" fontId="13" fillId="0" borderId="12" xfId="0" applyFont="1" applyBorder="1"/>
    <xf numFmtId="0" fontId="17" fillId="0" borderId="11" xfId="0" applyFont="1" applyBorder="1" applyAlignment="1">
      <alignment horizontal="left"/>
    </xf>
    <xf numFmtId="0" fontId="0" fillId="8" borderId="7" xfId="0" applyFill="1" applyBorder="1"/>
    <xf numFmtId="0" fontId="13" fillId="8" borderId="12" xfId="0" applyFont="1" applyFill="1" applyBorder="1"/>
    <xf numFmtId="0" fontId="13" fillId="8" borderId="31" xfId="0" applyFont="1" applyFill="1" applyBorder="1" applyAlignment="1">
      <alignment horizontal="center"/>
    </xf>
    <xf numFmtId="0" fontId="0" fillId="8" borderId="32" xfId="0" applyFill="1" applyBorder="1"/>
    <xf numFmtId="0" fontId="21" fillId="0" borderId="11" xfId="0" applyFont="1" applyBorder="1"/>
    <xf numFmtId="0" fontId="15" fillId="0" borderId="11" xfId="0" applyFont="1" applyBorder="1"/>
    <xf numFmtId="0" fontId="34" fillId="0" borderId="11" xfId="0" applyFont="1" applyBorder="1" applyAlignment="1">
      <alignment horizontal="center"/>
    </xf>
    <xf numFmtId="0" fontId="19" fillId="0" borderId="7" xfId="0" applyFont="1" applyBorder="1"/>
    <xf numFmtId="0" fontId="34" fillId="0" borderId="7" xfId="0" applyFont="1" applyBorder="1"/>
    <xf numFmtId="0" fontId="34" fillId="8" borderId="7" xfId="0" applyFont="1" applyFill="1" applyBorder="1"/>
    <xf numFmtId="0" fontId="34" fillId="0" borderId="12" xfId="0" applyFont="1" applyBorder="1"/>
    <xf numFmtId="0" fontId="19" fillId="0" borderId="11" xfId="0" applyFont="1" applyBorder="1" applyAlignment="1">
      <alignment horizontal="left"/>
    </xf>
    <xf numFmtId="0" fontId="34" fillId="0" borderId="7" xfId="0" applyFont="1" applyBorder="1"/>
    <xf numFmtId="0" fontId="19" fillId="0" borderId="11" xfId="0" applyFont="1" applyBorder="1"/>
    <xf numFmtId="0" fontId="34" fillId="0" borderId="12" xfId="0" applyFont="1" applyBorder="1"/>
    <xf numFmtId="0" fontId="19" fillId="8" borderId="7" xfId="0" applyFont="1" applyFill="1" applyBorder="1"/>
    <xf numFmtId="0" fontId="34" fillId="8" borderId="12" xfId="0" applyFont="1" applyFill="1" applyBorder="1"/>
    <xf numFmtId="0" fontId="37" fillId="0" borderId="11" xfId="0" applyFont="1" applyBorder="1" applyAlignment="1">
      <alignment horizontal="center"/>
    </xf>
    <xf numFmtId="0" fontId="38" fillId="0" borderId="7" xfId="0" applyFont="1" applyBorder="1"/>
    <xf numFmtId="0" fontId="37" fillId="8" borderId="7" xfId="0" applyFont="1" applyFill="1" applyBorder="1"/>
    <xf numFmtId="0" fontId="37" fillId="0" borderId="7" xfId="0" applyFont="1" applyBorder="1"/>
    <xf numFmtId="0" fontId="37" fillId="8" borderId="12" xfId="0" applyFont="1" applyFill="1" applyBorder="1"/>
    <xf numFmtId="0" fontId="38" fillId="0" borderId="11" xfId="0" applyFont="1" applyBorder="1"/>
    <xf numFmtId="0" fontId="38" fillId="0" borderId="7" xfId="0" applyFont="1" applyBorder="1"/>
    <xf numFmtId="0" fontId="37" fillId="0" borderId="7" xfId="0" applyFont="1" applyBorder="1"/>
    <xf numFmtId="0" fontId="37" fillId="0" borderId="12" xfId="0" applyFont="1" applyBorder="1"/>
    <xf numFmtId="0" fontId="20" fillId="0" borderId="12" xfId="0" applyFont="1" applyBorder="1" applyAlignment="1">
      <alignment horizontal="center"/>
    </xf>
    <xf numFmtId="0" fontId="38" fillId="3" borderId="11" xfId="0" applyFont="1" applyFill="1" applyBorder="1"/>
    <xf numFmtId="0" fontId="38" fillId="8" borderId="33" xfId="0" applyFont="1" applyFill="1" applyBorder="1"/>
    <xf numFmtId="0" fontId="37" fillId="8" borderId="33" xfId="0" applyFont="1" applyFill="1" applyBorder="1"/>
    <xf numFmtId="0" fontId="37" fillId="8" borderId="34" xfId="0" applyFont="1" applyFill="1" applyBorder="1"/>
    <xf numFmtId="0" fontId="10" fillId="8" borderId="32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20" fillId="8" borderId="34" xfId="0" applyFont="1" applyFill="1" applyBorder="1" applyAlignment="1">
      <alignment horizontal="center"/>
    </xf>
    <xf numFmtId="0" fontId="0" fillId="8" borderId="34" xfId="0" applyFill="1" applyBorder="1"/>
    <xf numFmtId="0" fontId="13" fillId="8" borderId="32" xfId="0" applyFont="1" applyFill="1" applyBorder="1"/>
    <xf numFmtId="0" fontId="0" fillId="8" borderId="36" xfId="0" applyFill="1" applyBorder="1"/>
    <xf numFmtId="0" fontId="0" fillId="8" borderId="35" xfId="0" applyFill="1" applyBorder="1"/>
    <xf numFmtId="0" fontId="17" fillId="0" borderId="31" xfId="0" applyFont="1" applyBorder="1"/>
    <xf numFmtId="0" fontId="5" fillId="11" borderId="33" xfId="0" applyFont="1" applyFill="1" applyBorder="1"/>
    <xf numFmtId="0" fontId="39" fillId="8" borderId="33" xfId="0" applyFont="1" applyFill="1" applyBorder="1"/>
    <xf numFmtId="0" fontId="39" fillId="11" borderId="34" xfId="0" applyFont="1" applyFill="1" applyBorder="1"/>
    <xf numFmtId="0" fontId="10" fillId="6" borderId="32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0" fillId="5" borderId="34" xfId="0" applyFill="1" applyBorder="1"/>
    <xf numFmtId="0" fontId="13" fillId="7" borderId="32" xfId="0" applyFont="1" applyFill="1" applyBorder="1"/>
    <xf numFmtId="0" fontId="0" fillId="7" borderId="36" xfId="0" applyFill="1" applyBorder="1"/>
    <xf numFmtId="0" fontId="0" fillId="7" borderId="35" xfId="0" applyFill="1" applyBorder="1"/>
    <xf numFmtId="0" fontId="5" fillId="8" borderId="33" xfId="0" applyFont="1" applyFill="1" applyBorder="1"/>
    <xf numFmtId="0" fontId="39" fillId="8" borderId="34" xfId="0" applyFont="1" applyFill="1" applyBorder="1"/>
    <xf numFmtId="0" fontId="17" fillId="11" borderId="31" xfId="0" applyFont="1" applyFill="1" applyBorder="1"/>
    <xf numFmtId="0" fontId="0" fillId="11" borderId="33" xfId="0" applyFill="1" applyBorder="1"/>
    <xf numFmtId="0" fontId="13" fillId="11" borderId="33" xfId="0" applyFont="1" applyFill="1" applyBorder="1"/>
    <xf numFmtId="0" fontId="13" fillId="11" borderId="34" xfId="0" applyFont="1" applyFill="1" applyBorder="1"/>
    <xf numFmtId="0" fontId="10" fillId="6" borderId="35" xfId="0" applyFont="1" applyFill="1" applyBorder="1" applyAlignment="1">
      <alignment horizontal="center"/>
    </xf>
    <xf numFmtId="0" fontId="17" fillId="11" borderId="11" xfId="0" applyFont="1" applyFill="1" applyBorder="1"/>
    <xf numFmtId="0" fontId="0" fillId="11" borderId="7" xfId="0" applyFill="1" applyBorder="1"/>
    <xf numFmtId="0" fontId="13" fillId="11" borderId="7" xfId="0" applyFont="1" applyFill="1" applyBorder="1"/>
    <xf numFmtId="0" fontId="13" fillId="11" borderId="12" xfId="0" applyFont="1" applyFill="1" applyBorder="1"/>
    <xf numFmtId="0" fontId="0" fillId="8" borderId="33" xfId="0" applyFill="1" applyBorder="1"/>
    <xf numFmtId="0" fontId="13" fillId="8" borderId="33" xfId="0" applyFont="1" applyFill="1" applyBorder="1"/>
    <xf numFmtId="0" fontId="13" fillId="8" borderId="34" xfId="0" applyFont="1" applyFill="1" applyBorder="1"/>
    <xf numFmtId="0" fontId="0" fillId="8" borderId="23" xfId="0" applyFill="1" applyBorder="1"/>
    <xf numFmtId="0" fontId="11" fillId="11" borderId="13" xfId="0" applyFont="1" applyFill="1" applyBorder="1" applyAlignment="1">
      <alignment horizontal="center"/>
    </xf>
    <xf numFmtId="0" fontId="0" fillId="11" borderId="14" xfId="0" applyFill="1" applyBorder="1"/>
    <xf numFmtId="0" fontId="13" fillId="8" borderId="14" xfId="0" applyFont="1" applyFill="1" applyBorder="1"/>
    <xf numFmtId="0" fontId="13" fillId="11" borderId="15" xfId="0" applyFont="1" applyFill="1" applyBorder="1"/>
    <xf numFmtId="0" fontId="10" fillId="6" borderId="37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7" borderId="37" xfId="0" applyFont="1" applyFill="1" applyBorder="1"/>
    <xf numFmtId="0" fontId="0" fillId="7" borderId="39" xfId="0" applyFill="1" applyBorder="1"/>
    <xf numFmtId="0" fontId="0" fillId="5" borderId="15" xfId="0" applyFill="1" applyBorder="1"/>
    <xf numFmtId="0" fontId="0" fillId="7" borderId="37" xfId="0" applyFill="1" applyBorder="1"/>
    <xf numFmtId="0" fontId="0" fillId="7" borderId="38" xfId="0" applyFill="1" applyBorder="1"/>
    <xf numFmtId="0" fontId="6" fillId="0" borderId="0" xfId="0" applyFont="1" applyBorder="1"/>
    <xf numFmtId="0" fontId="0" fillId="0" borderId="3" xfId="0" applyBorder="1"/>
    <xf numFmtId="0" fontId="0" fillId="0" borderId="0" xfId="0" applyBorder="1"/>
    <xf numFmtId="0" fontId="0" fillId="0" borderId="40" xfId="0" applyFont="1" applyBorder="1"/>
    <xf numFmtId="0" fontId="0" fillId="0" borderId="41" xfId="0" applyBorder="1"/>
    <xf numFmtId="0" fontId="0" fillId="0" borderId="42" xfId="0" applyBorder="1"/>
    <xf numFmtId="0" fontId="8" fillId="0" borderId="0" xfId="0" applyFont="1" applyBorder="1"/>
    <xf numFmtId="0" fontId="0" fillId="5" borderId="1" xfId="0" applyFill="1" applyBorder="1"/>
    <xf numFmtId="0" fontId="0" fillId="0" borderId="43" xfId="0" applyFont="1" applyBorder="1"/>
    <xf numFmtId="0" fontId="0" fillId="0" borderId="44" xfId="0" applyBorder="1"/>
    <xf numFmtId="0" fontId="0" fillId="0" borderId="23" xfId="0" applyBorder="1"/>
    <xf numFmtId="2" fontId="0" fillId="0" borderId="7" xfId="0" applyNumberFormat="1" applyBorder="1"/>
    <xf numFmtId="2" fontId="0" fillId="0" borderId="0" xfId="0" applyNumberFormat="1" applyFont="1" applyBorder="1"/>
    <xf numFmtId="2" fontId="0" fillId="0" borderId="0" xfId="0" applyNumberFormat="1" applyFont="1"/>
    <xf numFmtId="0" fontId="8" fillId="0" borderId="45" xfId="0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0" fontId="40" fillId="0" borderId="0" xfId="0" applyFont="1"/>
    <xf numFmtId="2" fontId="8" fillId="0" borderId="0" xfId="0" applyNumberFormat="1" applyFont="1"/>
    <xf numFmtId="165" fontId="0" fillId="0" borderId="0" xfId="0" applyNumberFormat="1"/>
    <xf numFmtId="0" fontId="13" fillId="0" borderId="0" xfId="0" applyFont="1" applyAlignment="1">
      <alignment horizontal="center"/>
    </xf>
    <xf numFmtId="0" fontId="0" fillId="0" borderId="47" xfId="0" applyFont="1" applyBorder="1"/>
    <xf numFmtId="0" fontId="0" fillId="0" borderId="48" xfId="0" applyBorder="1"/>
    <xf numFmtId="0" fontId="20" fillId="0" borderId="48" xfId="0" applyFont="1" applyBorder="1" applyAlignment="1">
      <alignment horizontal="center"/>
    </xf>
    <xf numFmtId="0" fontId="0" fillId="0" borderId="49" xfId="0" applyBorder="1"/>
    <xf numFmtId="0" fontId="0" fillId="4" borderId="1" xfId="0" applyFill="1" applyBorder="1"/>
    <xf numFmtId="0" fontId="0" fillId="0" borderId="50" xfId="0" applyFont="1" applyBorder="1"/>
    <xf numFmtId="0" fontId="20" fillId="0" borderId="7" xfId="0" applyFont="1" applyBorder="1" applyAlignment="1">
      <alignment horizontal="center"/>
    </xf>
    <xf numFmtId="0" fontId="0" fillId="0" borderId="51" xfId="0" applyBorder="1"/>
    <xf numFmtId="0" fontId="0" fillId="0" borderId="52" xfId="0" applyFont="1" applyBorder="1"/>
    <xf numFmtId="0" fontId="0" fillId="0" borderId="53" xfId="0" applyBorder="1"/>
    <xf numFmtId="0" fontId="20" fillId="0" borderId="53" xfId="0" applyFont="1" applyBorder="1" applyAlignment="1">
      <alignment horizontal="center"/>
    </xf>
    <xf numFmtId="0" fontId="0" fillId="0" borderId="54" xfId="0" applyBorder="1"/>
    <xf numFmtId="0" fontId="13" fillId="0" borderId="0" xfId="0" applyFont="1"/>
    <xf numFmtId="0" fontId="34" fillId="0" borderId="0" xfId="0" applyFont="1"/>
    <xf numFmtId="0" fontId="41" fillId="0" borderId="0" xfId="0" applyFont="1"/>
    <xf numFmtId="0" fontId="21" fillId="0" borderId="8" xfId="0" applyFont="1" applyBorder="1"/>
    <xf numFmtId="0" fontId="0" fillId="5" borderId="22" xfId="0" applyFill="1" applyBorder="1"/>
    <xf numFmtId="0" fontId="13" fillId="7" borderId="11" xfId="0" applyFont="1" applyFill="1" applyBorder="1"/>
    <xf numFmtId="0" fontId="0" fillId="7" borderId="55" xfId="0" applyFill="1" applyBorder="1"/>
    <xf numFmtId="0" fontId="0" fillId="7" borderId="11" xfId="0" applyFill="1" applyBorder="1"/>
    <xf numFmtId="0" fontId="0" fillId="7" borderId="12" xfId="0" applyFill="1" applyBorder="1"/>
    <xf numFmtId="0" fontId="13" fillId="7" borderId="11" xfId="0" applyFont="1" applyFill="1" applyBorder="1" applyAlignment="1">
      <alignment horizontal="center"/>
    </xf>
    <xf numFmtId="0" fontId="24" fillId="0" borderId="11" xfId="0" applyFont="1" applyBorder="1"/>
    <xf numFmtId="0" fontId="24" fillId="0" borderId="11" xfId="0" applyFont="1" applyBorder="1"/>
    <xf numFmtId="0" fontId="24" fillId="0" borderId="7" xfId="0" applyFont="1" applyBorder="1"/>
    <xf numFmtId="0" fontId="0" fillId="5" borderId="7" xfId="0" applyFill="1" applyBorder="1"/>
    <xf numFmtId="0" fontId="13" fillId="7" borderId="7" xfId="0" applyFont="1" applyFill="1" applyBorder="1"/>
    <xf numFmtId="0" fontId="0" fillId="7" borderId="7" xfId="0" applyFill="1" applyBorder="1"/>
    <xf numFmtId="0" fontId="13" fillId="5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0" fillId="5" borderId="11" xfId="0" applyFill="1" applyBorder="1"/>
    <xf numFmtId="0" fontId="0" fillId="3" borderId="11" xfId="0" applyFont="1" applyFill="1" applyBorder="1"/>
    <xf numFmtId="0" fontId="0" fillId="5" borderId="31" xfId="0" applyFill="1" applyBorder="1"/>
    <xf numFmtId="0" fontId="0" fillId="7" borderId="31" xfId="0" applyFill="1" applyBorder="1"/>
    <xf numFmtId="0" fontId="0" fillId="3" borderId="31" xfId="0" applyFont="1" applyFill="1" applyBorder="1"/>
    <xf numFmtId="0" fontId="13" fillId="7" borderId="31" xfId="0" applyFont="1" applyFill="1" applyBorder="1"/>
    <xf numFmtId="0" fontId="0" fillId="7" borderId="56" xfId="0" applyFill="1" applyBorder="1"/>
    <xf numFmtId="0" fontId="0" fillId="7" borderId="34" xfId="0" applyFill="1" applyBorder="1"/>
    <xf numFmtId="0" fontId="13" fillId="0" borderId="33" xfId="0" applyFont="1" applyBorder="1"/>
    <xf numFmtId="0" fontId="0" fillId="3" borderId="13" xfId="0" applyFont="1" applyFill="1" applyBorder="1"/>
    <xf numFmtId="0" fontId="0" fillId="5" borderId="13" xfId="0" applyFill="1" applyBorder="1" applyAlignment="1">
      <alignment horizontal="center"/>
    </xf>
    <xf numFmtId="0" fontId="0" fillId="5" borderId="38" xfId="0" applyFill="1" applyBorder="1"/>
    <xf numFmtId="0" fontId="13" fillId="7" borderId="13" xfId="0" applyFont="1" applyFill="1" applyBorder="1"/>
    <xf numFmtId="0" fontId="0" fillId="7" borderId="57" xfId="0" applyFill="1" applyBorder="1"/>
    <xf numFmtId="0" fontId="0" fillId="5" borderId="13" xfId="0" applyFont="1" applyFill="1" applyBorder="1" applyAlignment="1">
      <alignment horizontal="center"/>
    </xf>
    <xf numFmtId="0" fontId="0" fillId="7" borderId="13" xfId="0" applyFill="1" applyBorder="1"/>
    <xf numFmtId="0" fontId="0" fillId="7" borderId="15" xfId="0" applyFill="1" applyBorder="1"/>
    <xf numFmtId="0" fontId="8" fillId="0" borderId="1" xfId="0" applyFont="1" applyBorder="1" applyAlignment="1">
      <alignment horizontal="center"/>
    </xf>
    <xf numFmtId="0" fontId="0" fillId="0" borderId="5" xfId="0" applyFont="1" applyBorder="1"/>
    <xf numFmtId="0" fontId="0" fillId="0" borderId="58" xfId="0" applyFont="1" applyBorder="1"/>
    <xf numFmtId="0" fontId="0" fillId="0" borderId="2" xfId="0" applyFont="1" applyBorder="1"/>
    <xf numFmtId="0" fontId="0" fillId="0" borderId="6" xfId="0" applyFont="1" applyBorder="1"/>
    <xf numFmtId="0" fontId="0" fillId="0" borderId="59" xfId="0" applyFont="1" applyBorder="1"/>
    <xf numFmtId="0" fontId="8" fillId="0" borderId="3" xfId="0" applyFont="1" applyBorder="1" applyAlignment="1">
      <alignment horizontal="center"/>
    </xf>
    <xf numFmtId="0" fontId="0" fillId="0" borderId="60" xfId="0" applyBorder="1"/>
    <xf numFmtId="0" fontId="0" fillId="0" borderId="4" xfId="0" applyBorder="1"/>
    <xf numFmtId="0" fontId="0" fillId="0" borderId="6" xfId="0" applyBorder="1"/>
    <xf numFmtId="0" fontId="0" fillId="0" borderId="61" xfId="0" applyBorder="1"/>
    <xf numFmtId="0" fontId="39" fillId="0" borderId="0" xfId="0" applyFont="1"/>
    <xf numFmtId="14" fontId="39" fillId="0" borderId="5" xfId="0" applyNumberFormat="1" applyFont="1" applyBorder="1" applyAlignment="1">
      <alignment horizontal="center"/>
    </xf>
    <xf numFmtId="0" fontId="42" fillId="0" borderId="0" xfId="0" applyFont="1"/>
    <xf numFmtId="1" fontId="34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0" fontId="43" fillId="0" borderId="7" xfId="0" applyFont="1" applyBorder="1"/>
    <xf numFmtId="14" fontId="39" fillId="0" borderId="1" xfId="0" applyNumberFormat="1" applyFont="1" applyBorder="1"/>
    <xf numFmtId="14" fontId="39" fillId="0" borderId="58" xfId="0" applyNumberFormat="1" applyFont="1" applyBorder="1"/>
    <xf numFmtId="0" fontId="13" fillId="5" borderId="11" xfId="0" applyFont="1" applyFill="1" applyBorder="1" applyAlignment="1" quotePrefix="1">
      <alignment horizontal="center"/>
    </xf>
    <xf numFmtId="14" fontId="0" fillId="0" borderId="1" xfId="0" applyNumberFormat="1" applyBorder="1"/>
    <xf numFmtId="0" fontId="4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e explicatif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600"/>
      <rgbColor rgb="00000080"/>
      <rgbColor rgb="00996600"/>
      <rgbColor rgb="00800080"/>
      <rgbColor rgb="00376092"/>
      <rgbColor rgb="00C0C0C0"/>
      <rgbColor rgb="00808080"/>
      <rgbColor rgb="00558ED5"/>
      <rgbColor rgb="007030A0"/>
      <rgbColor rgb="00FFFFCC"/>
      <rgbColor rgb="00CCFFFF"/>
      <rgbColor rgb="00660066"/>
      <rgbColor rgb="00CC9900"/>
      <rgbColor rgb="000070C0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4A7EBB"/>
      <rgbColor rgb="0033CCCC"/>
      <rgbColor rgb="0092D050"/>
      <rgbColor rgb="00FFC000"/>
      <rgbColor rgb="00F79646"/>
      <rgbColor rgb="00CC6600"/>
      <rgbColor rgb="00595959"/>
      <rgbColor rgb="00878787"/>
      <rgbColor rgb="00002060"/>
      <rgbColor rgb="0000B050"/>
      <rgbColor rgb="00003300"/>
      <rgbColor rgb="00262626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266700</xdr:colOff>
      <xdr:row>1</xdr:row>
      <xdr:rowOff>28575</xdr:rowOff>
    </xdr:from>
    <xdr:ext cx="3295650" cy="3590925"/>
    <xdr:sp macro="" textlink="">
      <xdr:nvSpPr>
        <xdr:cNvPr id="2" name="CustomShape 1"/>
        <xdr:cNvSpPr/>
      </xdr:nvSpPr>
      <xdr:spPr>
        <a:xfrm>
          <a:off x="7839075" y="219075"/>
          <a:ext cx="3295650" cy="3590925"/>
        </a:xfrm>
        <a:prstGeom prst="rect">
          <a:avLst/>
        </a:prstGeom>
        <a:ln>
          <a:solidFill>
            <a:srgbClr val="FF0000"/>
          </a:solidFill>
          <a:round/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DOCTEUR: 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HISTOIRE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:</a:t>
          </a:r>
        </a:p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REGIME :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GROSSESSE : </a:t>
          </a:r>
        </a:p>
        <a:p>
          <a:pPr>
            <a:lnSpc>
              <a:spcPct val="100000"/>
            </a:lnSpc>
          </a:pP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W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POiDS LE + STABLE : </a:t>
          </a:r>
        </a:p>
        <a:p>
          <a:pPr>
            <a:lnSpc>
              <a:spcPct val="100000"/>
            </a:lnSpc>
          </a:pPr>
          <a:endParaRPr lang="fr-FR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Calibri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POIDS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LE + HAUT :</a:t>
          </a:r>
        </a:p>
        <a:p>
          <a:pPr>
            <a:lnSpc>
              <a:spcPct val="100000"/>
            </a:lnSpc>
          </a:pP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TTT : .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31</xdr:row>
      <xdr:rowOff>114300</xdr:rowOff>
    </xdr:from>
    <xdr:ext cx="2381250" cy="1143000"/>
    <xdr:sp macro="" textlink="">
      <xdr:nvSpPr>
        <xdr:cNvPr id="2" name="CustomShape 1"/>
        <xdr:cNvSpPr/>
      </xdr:nvSpPr>
      <xdr:spPr>
        <a:xfrm>
          <a:off x="361950" y="6067425"/>
          <a:ext cx="2381250" cy="1143000"/>
        </a:xfrm>
        <a:prstGeom prst="rect">
          <a:avLst/>
        </a:prstGeom>
        <a:ln>
          <a:solidFill>
            <a:srgbClr val="98B855"/>
          </a:solidFill>
          <a:round/>
          <a:headEnd type="none"/>
          <a:tailEnd type="none"/>
        </a:ln>
        <a:effectLst>
          <a:outerShdw blurRad="40000" dist="23000" dir="5400000" rotWithShape="0">
            <a:prstClr val="black">
              <a:alpha val="35000"/>
            </a:prst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0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200g riz = 6 cas de riz  ou 7 cas semoule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150g riz = 4 c as de riz ou 5 cas semoule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chocolat 1 carré =  4g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chocolat 1 barre = 16g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10g confiture ou 5g sucre = 1 c a café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10g sucre poudre = 1 cà soupe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190500</xdr:rowOff>
    </xdr:from>
    <xdr:ext cx="6296025" cy="1362075"/>
    <xdr:sp macro="" textlink="">
      <xdr:nvSpPr>
        <xdr:cNvPr id="2" name="CustomShape 1"/>
        <xdr:cNvSpPr/>
      </xdr:nvSpPr>
      <xdr:spPr>
        <a:xfrm>
          <a:off x="971550" y="2286000"/>
          <a:ext cx="6296025" cy="1362075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866775</xdr:colOff>
      <xdr:row>19</xdr:row>
      <xdr:rowOff>104775</xdr:rowOff>
    </xdr:from>
    <xdr:ext cx="6286500" cy="1257300"/>
    <xdr:sp macro="" textlink="">
      <xdr:nvSpPr>
        <xdr:cNvPr id="3" name="CustomShape 1"/>
        <xdr:cNvSpPr/>
      </xdr:nvSpPr>
      <xdr:spPr>
        <a:xfrm>
          <a:off x="866775" y="3724275"/>
          <a:ext cx="6286500" cy="125730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895350</xdr:colOff>
      <xdr:row>26</xdr:row>
      <xdr:rowOff>85725</xdr:rowOff>
    </xdr:from>
    <xdr:ext cx="6296025" cy="1066800"/>
    <xdr:sp macro="" textlink="">
      <xdr:nvSpPr>
        <xdr:cNvPr id="4" name="CustomShape 1"/>
        <xdr:cNvSpPr/>
      </xdr:nvSpPr>
      <xdr:spPr>
        <a:xfrm>
          <a:off x="895350" y="5038725"/>
          <a:ext cx="6296025" cy="106680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895350</xdr:colOff>
      <xdr:row>32</xdr:row>
      <xdr:rowOff>85725</xdr:rowOff>
    </xdr:from>
    <xdr:ext cx="6296025" cy="1047750"/>
    <xdr:sp macro="" textlink="">
      <xdr:nvSpPr>
        <xdr:cNvPr id="5" name="CustomShape 1"/>
        <xdr:cNvSpPr/>
      </xdr:nvSpPr>
      <xdr:spPr>
        <a:xfrm>
          <a:off x="895350" y="6181725"/>
          <a:ext cx="6296025" cy="104775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endParaRPr lang="fr-FR" sz="1100" b="0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Calibri"/>
          </a:endParaRPr>
        </a:p>
      </xdr:txBody>
    </xdr:sp>
    <xdr:clientData/>
  </xdr:oneCellAnchor>
  <xdr:oneCellAnchor>
    <xdr:from>
      <xdr:col>0</xdr:col>
      <xdr:colOff>914400</xdr:colOff>
      <xdr:row>38</xdr:row>
      <xdr:rowOff>104775</xdr:rowOff>
    </xdr:from>
    <xdr:ext cx="6276975" cy="1447800"/>
    <xdr:sp macro="" textlink="">
      <xdr:nvSpPr>
        <xdr:cNvPr id="6" name="CustomShape 1"/>
        <xdr:cNvSpPr/>
      </xdr:nvSpPr>
      <xdr:spPr>
        <a:xfrm>
          <a:off x="914400" y="7343775"/>
          <a:ext cx="6276975" cy="144780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SUIVI 5 .: Plein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 de craquages. Chocolat, juste apres les repas. Sneackers mais petit bout par petit bout.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Deshabituer du sucré.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Repris sport  + avec application  renforcement musculaire.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Compliqué au travail,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GOUTER : fini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Parfois que leg + fec.  Reste plus bcp de pantalon ds lequel elle ne rentre pas.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PART EN VACANCE, dans locations.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914400</xdr:colOff>
      <xdr:row>46</xdr:row>
      <xdr:rowOff>95250</xdr:rowOff>
    </xdr:from>
    <xdr:ext cx="6286500" cy="1181100"/>
    <xdr:sp macro="" textlink="">
      <xdr:nvSpPr>
        <xdr:cNvPr id="7" name="CustomShape 1"/>
        <xdr:cNvSpPr/>
      </xdr:nvSpPr>
      <xdr:spPr>
        <a:xfrm>
          <a:off x="914400" y="8858250"/>
          <a:ext cx="6286500" cy="118110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Suivi 6 :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stress +++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Ne fait pas ses footing car trop occupé au taff.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Moins bien manger. mOINS DE Leg + de fec et de pain.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Rentre plus tard dc mari qui cuisine du coup feculent ++++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Midi et soir.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Vacance 1 semaine dans le TARN;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6276975" cy="933450"/>
    <xdr:sp macro="" textlink="">
      <xdr:nvSpPr>
        <xdr:cNvPr id="8" name="CustomShape 1"/>
        <xdr:cNvSpPr/>
      </xdr:nvSpPr>
      <xdr:spPr>
        <a:xfrm>
          <a:off x="971550" y="10096500"/>
          <a:ext cx="6276975" cy="93345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Suivi 7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: Vacance bien profiter. Pain l'a ft gonfler.  Parti 2 semaine a la campagne.  71kg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Repas en ce moment bien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Ce mid : cordon blon, purée, haricot, perle de lait.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PLEIN d'ecart.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1</xdr:col>
      <xdr:colOff>19050</xdr:colOff>
      <xdr:row>58</xdr:row>
      <xdr:rowOff>85725</xdr:rowOff>
    </xdr:from>
    <xdr:ext cx="6286500" cy="1428750"/>
    <xdr:sp macro="" textlink="">
      <xdr:nvSpPr>
        <xdr:cNvPr id="9" name="CustomShape 1"/>
        <xdr:cNvSpPr/>
      </xdr:nvSpPr>
      <xdr:spPr>
        <a:xfrm>
          <a:off x="990600" y="11134725"/>
          <a:ext cx="6286500" cy="142875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Suivi 8 : maintenu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le cap.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Tjr yaourt grecque.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qq invitation, ne se ressere pas.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Ne fait plus une fixation sur le poids.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Ne fais plus de sport.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PART DU 22 au 28 nov a new york. </a:t>
          </a:r>
        </a:p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838200</xdr:colOff>
      <xdr:row>66</xdr:row>
      <xdr:rowOff>0</xdr:rowOff>
    </xdr:from>
    <xdr:ext cx="6276975" cy="1438275"/>
    <xdr:sp macro="" textlink="">
      <xdr:nvSpPr>
        <xdr:cNvPr id="10" name="CustomShape 1"/>
        <xdr:cNvSpPr/>
      </xdr:nvSpPr>
      <xdr:spPr>
        <a:xfrm>
          <a:off x="838200" y="12573000"/>
          <a:ext cx="6276975" cy="1438275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Suivi 8 : maintenu</a:t>
          </a:r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le cap.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Tjr yaourt grecque.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qq invitation, ne se ressere pas.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Ne fait plus une fixation sur le poids.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Ne fais plus de sport. </a:t>
          </a:r>
        </a:p>
        <a:p>
          <a:r>
            <a:rPr lang="fr-F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PART DU 22 au 28 nov a new york. </a:t>
          </a:r>
        </a:p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4543425" cy="1162050"/>
    <xdr:sp macro="" textlink="">
      <xdr:nvSpPr>
        <xdr:cNvPr id="9" name="CustomShape 1"/>
        <xdr:cNvSpPr/>
      </xdr:nvSpPr>
      <xdr:spPr>
        <a:xfrm>
          <a:off x="66675" y="133350"/>
          <a:ext cx="4543425" cy="1162050"/>
        </a:xfrm>
        <a:prstGeom prst="rect">
          <a:avLst/>
        </a:prstGeom>
        <a:ln>
          <a:solidFill>
            <a:srgbClr val="7030A0"/>
          </a:solidFill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200" b="1" u="sng" strike="noStrike" spc="-1">
              <a:solidFill>
                <a:srgbClr val="7030A0"/>
              </a:solidFill>
              <a:uFill>
                <a:solidFill>
                  <a:srgbClr val="FFFFFF"/>
                </a:solidFill>
              </a:uFill>
              <a:latin typeface="Calibri"/>
            </a:rPr>
            <a:t>Diabète</a:t>
          </a:r>
          <a:r>
            <a:rPr lang="fr-FR" sz="1200" b="0" strike="noStrike" spc="-1">
              <a:solidFill>
                <a:srgbClr val="7030A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: 2 fruits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300g légumes max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25% glucides le matin le reste moitié-moitié (midi et soir)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Gouter : 10% du midi   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Associé féculent + produit laitier pour diminuer IG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En cas d'hypo ressucré avec  1 sucre ou soda (pas light) + féculent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57150</xdr:colOff>
      <xdr:row>7</xdr:row>
      <xdr:rowOff>114300</xdr:rowOff>
    </xdr:from>
    <xdr:ext cx="4543425" cy="1095375"/>
    <xdr:sp macro="" textlink="">
      <xdr:nvSpPr>
        <xdr:cNvPr id="10" name="CustomShape 1"/>
        <xdr:cNvSpPr/>
      </xdr:nvSpPr>
      <xdr:spPr>
        <a:xfrm>
          <a:off x="57150" y="1447800"/>
          <a:ext cx="4543425" cy="1095375"/>
        </a:xfrm>
        <a:prstGeom prst="rect">
          <a:avLst/>
        </a:prstGeom>
        <a:ln>
          <a:solidFill>
            <a:schemeClr val="accent6"/>
          </a:solidFill>
          <a:round/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200" b="1" strike="noStrike" spc="-1">
              <a:solidFill>
                <a:srgbClr val="F79646"/>
              </a:solidFill>
              <a:uFill>
                <a:solidFill>
                  <a:srgbClr val="FFFFFF"/>
                </a:solidFill>
              </a:uFill>
              <a:latin typeface="Calibri"/>
            </a:rPr>
            <a:t>Cholestérol</a:t>
          </a:r>
          <a:r>
            <a:rPr lang="fr-FR" sz="1200" b="0" strike="noStrike" spc="-1">
              <a:solidFill>
                <a:srgbClr val="FFC000"/>
              </a:solidFill>
              <a:uFill>
                <a:solidFill>
                  <a:srgbClr val="FFFFFF"/>
                </a:solidFill>
              </a:uFill>
              <a:latin typeface="Calibri"/>
            </a:rPr>
            <a:t> </a:t>
          </a:r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:  Diminuer AGS (charcuterie, paté, friture...)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         Pour diminuer LDL : prendre 3g stérol végétaux / jour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         huile oméga 6 : tournesol / mais / soja / noix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           huile oméga 3 : colza / noix + poisson gras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                         Beurre limite 10g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47625</xdr:colOff>
      <xdr:row>14</xdr:row>
      <xdr:rowOff>57150</xdr:rowOff>
    </xdr:from>
    <xdr:ext cx="4543425" cy="342900"/>
    <xdr:sp macro="" textlink="">
      <xdr:nvSpPr>
        <xdr:cNvPr id="11" name="CustomShape 1"/>
        <xdr:cNvSpPr/>
      </xdr:nvSpPr>
      <xdr:spPr>
        <a:xfrm>
          <a:off x="47625" y="2724150"/>
          <a:ext cx="4543425" cy="34290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200" b="1" strike="noStrike" spc="-1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Crise de goute: </a:t>
          </a:r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Alimentation pauvre acide urique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7</xdr:col>
      <xdr:colOff>0</xdr:colOff>
      <xdr:row>0</xdr:row>
      <xdr:rowOff>142875</xdr:rowOff>
    </xdr:from>
    <xdr:ext cx="3590925" cy="1314450"/>
    <xdr:sp macro="" textlink="">
      <xdr:nvSpPr>
        <xdr:cNvPr id="12" name="CustomShape 1"/>
        <xdr:cNvSpPr/>
      </xdr:nvSpPr>
      <xdr:spPr>
        <a:xfrm>
          <a:off x="4867275" y="142875"/>
          <a:ext cx="3590925" cy="1314450"/>
        </a:xfrm>
        <a:prstGeom prst="rect">
          <a:avLst/>
        </a:prstGeom>
        <a:ln>
          <a:solidFill>
            <a:srgbClr val="FF0000"/>
          </a:solidFill>
          <a:round/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HTA / cardiopathie / nefropathie / cyrose / corticotherapie </a:t>
          </a:r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Diminution sel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Normal = 6 à 8g Nacl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Hypo-large= 3 à 6g Nacl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Hypo-standard= - 3 g Nacl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0</xdr:col>
      <xdr:colOff>38100</xdr:colOff>
      <xdr:row>18</xdr:row>
      <xdr:rowOff>0</xdr:rowOff>
    </xdr:from>
    <xdr:ext cx="4543425" cy="4210050"/>
    <xdr:sp macro="" textlink="">
      <xdr:nvSpPr>
        <xdr:cNvPr id="13" name="CustomShape 1"/>
        <xdr:cNvSpPr/>
      </xdr:nvSpPr>
      <xdr:spPr>
        <a:xfrm>
          <a:off x="38100" y="3429000"/>
          <a:ext cx="4543425" cy="421005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200" b="1" u="sng" strike="noStrike" spc="-1">
              <a:solidFill>
                <a:srgbClr val="92D050"/>
              </a:solidFill>
              <a:uFill>
                <a:solidFill>
                  <a:srgbClr val="FFFFFF"/>
                </a:solidFill>
              </a:uFill>
              <a:latin typeface="Calibri"/>
            </a:rPr>
            <a:t>IRA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:  </a:t>
          </a:r>
          <a:r>
            <a:rPr lang="fr-FR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IRC &lt; 90 ml/min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(filtration glomérulaire)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Valeur  normal crétatinine : 80-110 pr H et 60-90 pr F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PROTEINE : 0,8g/kg/j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Ca+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: normal ou haut (si il a une hypocalcémie)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PHOSPHORE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: svt hyperphosphorémie donc  apport </a:t>
          </a:r>
          <a:r>
            <a:rPr lang="fr-FR" sz="11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pauvre en phosphore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K+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: normal </a:t>
          </a:r>
          <a:r>
            <a:rPr lang="fr-FR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sauf si la kaliémie est &gt; 5,5mmol/l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alors </a:t>
          </a:r>
          <a:r>
            <a:rPr lang="fr-FR" sz="11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régime pauvre en K+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(moins de 2,5g/j)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--&gt; cuisson dans grd volume eau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---&gt; 2 fruits car tres riche en potassium 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--&gt; 300g de legume pas plus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KCAL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: 30-35 kcal/kg/j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NA+ et EAU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: restriction NA si HTA, oedeme, insuff cardiaque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	restriction hydroqie si hyponatrémie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PAS DE RESTRICTION SI PAS DE DIMINUTION DE DIURESE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100" b="0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!!!! LUTTER CONTRE DENUTRITION !!!!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1" u="sng" strike="noStrike" spc="-1">
              <a:solidFill>
                <a:srgbClr val="92D050"/>
              </a:solidFill>
              <a:uFill>
                <a:solidFill>
                  <a:srgbClr val="FFFFFF"/>
                </a:solidFill>
              </a:uFill>
              <a:latin typeface="Calibri"/>
            </a:rPr>
            <a:t>IRC : </a:t>
          </a: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svt hypercatabolisme protide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AE ou AP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PROTEINE : 1,2g/kg/j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KCAL : 50 kcal/kg/j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+ vit et oligoélément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intolérance au G et résistance insuline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HDL bas et TG haut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7</xdr:col>
      <xdr:colOff>57150</xdr:colOff>
      <xdr:row>9</xdr:row>
      <xdr:rowOff>9525</xdr:rowOff>
    </xdr:from>
    <xdr:ext cx="4543425" cy="895350"/>
    <xdr:sp macro="" textlink="">
      <xdr:nvSpPr>
        <xdr:cNvPr id="14" name="CustomShape 1"/>
        <xdr:cNvSpPr/>
      </xdr:nvSpPr>
      <xdr:spPr>
        <a:xfrm>
          <a:off x="4924425" y="1724025"/>
          <a:ext cx="4543425" cy="895350"/>
        </a:xfrm>
        <a:prstGeom prst="rect">
          <a:avLst/>
        </a:prstGeom>
        <a:ln>
          <a:solidFill>
            <a:srgbClr val="00B050"/>
          </a:solidFill>
          <a:round/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200" b="1" strike="noStrike" spc="-1">
              <a:solidFill>
                <a:srgbClr val="00B050"/>
              </a:solidFill>
              <a:uFill>
                <a:solidFill>
                  <a:srgbClr val="FFFFFF"/>
                </a:solidFill>
              </a:uFill>
              <a:latin typeface="Calibri"/>
            </a:rPr>
            <a:t>Into au gluten (maladie coeliaque)</a:t>
          </a:r>
          <a:r>
            <a:rPr lang="fr-FR" sz="1200" b="0" strike="noStrike" spc="-1">
              <a:solidFill>
                <a:srgbClr val="00B050"/>
              </a:solidFill>
              <a:uFill>
                <a:solidFill>
                  <a:srgbClr val="FFFFFF"/>
                </a:solidFill>
              </a:uFill>
              <a:latin typeface="Calibri"/>
            </a:rPr>
            <a:t>:  </a:t>
          </a:r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pas blé, seigle, orge, (avoine?)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Remplace par farine de soja/sarazin/de riz/mais, quinoa, fécule de pdt, tapioca, maizena, manioc, pois chiche de chataigne, nouille soba, vermicelle de riz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  <xdr:oneCellAnchor>
    <xdr:from>
      <xdr:col>7</xdr:col>
      <xdr:colOff>342900</xdr:colOff>
      <xdr:row>15</xdr:row>
      <xdr:rowOff>85725</xdr:rowOff>
    </xdr:from>
    <xdr:ext cx="2000250" cy="1562100"/>
    <xdr:sp macro="" textlink="">
      <xdr:nvSpPr>
        <xdr:cNvPr id="15" name="CustomShape 1"/>
        <xdr:cNvSpPr/>
      </xdr:nvSpPr>
      <xdr:spPr>
        <a:xfrm>
          <a:off x="5210175" y="2943225"/>
          <a:ext cx="2000250" cy="1562100"/>
        </a:xfrm>
        <a:prstGeom prst="rect">
          <a:avLst/>
        </a:prstGeom>
        <a:ln>
          <a:round/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lIns="90000" tIns="45000" rIns="90000" bIns="45000"/>
        <a:lstStyle/>
        <a:p>
          <a:r>
            <a:rPr lang="fr-FR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Végétarien :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Haricots rouge + riz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lentilles  + pate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fèves + boulghour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soja + blé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pois + mais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pois chiche + semoule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workbookViewId="0" topLeftCell="A1">
      <selection activeCell="B18" sqref="B18"/>
    </sheetView>
  </sheetViews>
  <sheetFormatPr defaultColWidth="9.140625" defaultRowHeight="15"/>
  <cols>
    <col min="1" max="1" width="24.140625" style="0" customWidth="1"/>
    <col min="2" max="2" width="15.7109375" style="0" customWidth="1"/>
    <col min="3" max="3" width="10.421875" style="0" customWidth="1"/>
    <col min="4" max="4" width="14.421875" style="0" customWidth="1"/>
    <col min="5" max="5" width="10.421875" style="0" customWidth="1"/>
    <col min="6" max="6" width="17.57421875" style="0" customWidth="1"/>
    <col min="7" max="14" width="10.421875" style="0" customWidth="1"/>
    <col min="15" max="15" width="12.7109375" style="0" bestFit="1" customWidth="1"/>
    <col min="16" max="1025" width="10.421875" style="0" customWidth="1"/>
  </cols>
  <sheetData>
    <row r="1" ht="15">
      <c r="C1" s="1"/>
    </row>
    <row r="2" spans="1:3" ht="15">
      <c r="A2" s="2" t="s">
        <v>0</v>
      </c>
      <c r="B2" s="3"/>
      <c r="C2" s="4"/>
    </row>
    <row r="3" spans="1:5" ht="15">
      <c r="A3" s="5" t="s">
        <v>1</v>
      </c>
      <c r="B3" s="6"/>
      <c r="C3" s="4"/>
      <c r="D3" s="7" t="s">
        <v>2</v>
      </c>
      <c r="E3" s="8">
        <f>(taille*100)-100-((taille*100)-150)/2.5</f>
        <v>-40</v>
      </c>
    </row>
    <row r="4" spans="1:3" ht="15">
      <c r="A4" s="9" t="s">
        <v>3</v>
      </c>
      <c r="B4" s="10"/>
      <c r="C4" s="4"/>
    </row>
    <row r="6" spans="1:6" ht="15">
      <c r="A6" s="11" t="s">
        <v>4</v>
      </c>
      <c r="B6" s="12"/>
      <c r="D6" s="13" t="s">
        <v>5</v>
      </c>
      <c r="E6" s="14" t="s">
        <v>6</v>
      </c>
      <c r="F6" s="15" t="s">
        <v>7</v>
      </c>
    </row>
    <row r="7" spans="1:6" ht="15">
      <c r="A7" s="11" t="s">
        <v>8</v>
      </c>
      <c r="B7" s="12"/>
      <c r="C7" s="16"/>
      <c r="D7" s="17"/>
      <c r="E7" s="18">
        <f>poids-D7</f>
        <v>0</v>
      </c>
      <c r="F7" s="19">
        <f>E7/3</f>
        <v>0</v>
      </c>
    </row>
    <row r="8" spans="1:5" ht="15">
      <c r="A8" s="11" t="s">
        <v>9</v>
      </c>
      <c r="B8" s="12"/>
      <c r="C8" s="20"/>
      <c r="D8" s="20"/>
      <c r="E8" s="21"/>
    </row>
    <row r="9" spans="1:5" ht="15">
      <c r="A9" s="22" t="s">
        <v>10</v>
      </c>
      <c r="B9" s="23" t="e">
        <f>B7/(B8*B8)</f>
        <v>#DIV/0!</v>
      </c>
      <c r="C9" s="24"/>
      <c r="D9" s="25" t="e">
        <f>D7/(B8*B8)</f>
        <v>#DIV/0!</v>
      </c>
      <c r="E9" s="26"/>
    </row>
    <row r="10" spans="1:5" ht="15">
      <c r="A10" s="22"/>
      <c r="B10" s="23"/>
      <c r="C10" s="27"/>
      <c r="D10" s="26"/>
      <c r="E10" s="26"/>
    </row>
    <row r="11" spans="1:5" ht="15">
      <c r="A11" s="28"/>
      <c r="B11" s="26"/>
      <c r="C11" s="27"/>
      <c r="D11" s="26"/>
      <c r="E11" s="26"/>
    </row>
    <row r="12" spans="1:5" ht="15">
      <c r="A12" s="22"/>
      <c r="B12" s="23"/>
      <c r="C12" s="27"/>
      <c r="D12" s="26" t="s">
        <v>11</v>
      </c>
      <c r="E12" s="26" t="s">
        <v>12</v>
      </c>
    </row>
    <row r="13" spans="1:5" ht="15">
      <c r="A13" s="29" t="s">
        <v>13</v>
      </c>
      <c r="B13" s="30" t="e">
        <f>(1.2*B9)+(0.23*B6)-(10.8*0)-5.4</f>
        <v>#DIV/0!</v>
      </c>
      <c r="C13" s="27"/>
      <c r="D13" s="26"/>
      <c r="E13" s="26"/>
    </row>
    <row r="14" spans="1:4" ht="15">
      <c r="A14" s="22"/>
      <c r="B14" s="23"/>
      <c r="C14" s="27"/>
      <c r="D14" s="26"/>
    </row>
    <row r="15" spans="1:5" ht="15">
      <c r="A15" s="31" t="s">
        <v>14</v>
      </c>
      <c r="B15" s="32"/>
      <c r="C15" s="27"/>
      <c r="D15" s="33" t="s">
        <v>15</v>
      </c>
      <c r="E15" s="34" t="s">
        <v>16</v>
      </c>
    </row>
    <row r="16" spans="4:8" ht="15">
      <c r="D16" s="34" t="s">
        <v>17</v>
      </c>
      <c r="E16" s="34" t="s">
        <v>18</v>
      </c>
      <c r="G16" s="35"/>
      <c r="H16" s="36" t="s">
        <v>19</v>
      </c>
    </row>
    <row r="17" spans="1:8" ht="15">
      <c r="A17" s="11" t="s">
        <v>20</v>
      </c>
      <c r="B17" s="37">
        <f>9.74*poids+172.9*taille-4.737*B6+667.051</f>
        <v>667.051</v>
      </c>
      <c r="C17" s="38"/>
      <c r="D17" s="34" t="s">
        <v>21</v>
      </c>
      <c r="E17" s="34" t="s">
        <v>22</v>
      </c>
      <c r="G17" s="35" t="s">
        <v>23</v>
      </c>
      <c r="H17" s="36">
        <v>1.375</v>
      </c>
    </row>
    <row r="18" spans="1:8" ht="15">
      <c r="A18" s="39" t="s">
        <v>19</v>
      </c>
      <c r="B18" s="12"/>
      <c r="C18" s="38"/>
      <c r="D18" s="34" t="s">
        <v>24</v>
      </c>
      <c r="E18" s="34" t="s">
        <v>25</v>
      </c>
      <c r="G18" s="35" t="s">
        <v>26</v>
      </c>
      <c r="H18" s="36">
        <v>1.56</v>
      </c>
    </row>
    <row r="19" spans="1:8" ht="15">
      <c r="A19" s="12"/>
      <c r="B19" s="38"/>
      <c r="C19" s="38"/>
      <c r="G19" s="35" t="s">
        <v>27</v>
      </c>
      <c r="H19" s="36">
        <v>1.64</v>
      </c>
    </row>
    <row r="20" spans="1:8" ht="15">
      <c r="A20" s="11" t="s">
        <v>28</v>
      </c>
      <c r="B20" s="40">
        <f>B17*B18</f>
        <v>0</v>
      </c>
      <c r="C20" s="41"/>
      <c r="G20" s="35" t="s">
        <v>29</v>
      </c>
      <c r="H20" s="36">
        <v>1.82</v>
      </c>
    </row>
    <row r="22" spans="1:2" ht="15">
      <c r="A22" s="22" t="s">
        <v>30</v>
      </c>
      <c r="B22" s="42">
        <f>B20*25/100</f>
        <v>0</v>
      </c>
    </row>
    <row r="23" spans="2:3" ht="15">
      <c r="B23" s="43">
        <f>B20-B22</f>
        <v>0</v>
      </c>
      <c r="C23" s="4"/>
    </row>
    <row r="26" spans="1:10" ht="15">
      <c r="A26" t="s">
        <v>31</v>
      </c>
      <c r="B26" s="44" t="s">
        <v>32</v>
      </c>
      <c r="C26" s="45"/>
      <c r="D26" t="s">
        <v>33</v>
      </c>
      <c r="E26" t="s">
        <v>34</v>
      </c>
      <c r="F26" s="46"/>
      <c r="G26" s="47" t="s">
        <v>35</v>
      </c>
      <c r="H26" t="s">
        <v>36</v>
      </c>
      <c r="J26" t="s">
        <v>37</v>
      </c>
    </row>
    <row r="27" spans="1:6" ht="15">
      <c r="A27" t="s">
        <v>38</v>
      </c>
      <c r="B27" t="s">
        <v>39</v>
      </c>
      <c r="C27" s="45"/>
      <c r="F27" s="46"/>
    </row>
    <row r="28" spans="1:6" ht="15">
      <c r="A28" t="s">
        <v>40</v>
      </c>
      <c r="B28" t="s">
        <v>41</v>
      </c>
      <c r="C28" s="45"/>
      <c r="F28" s="46"/>
    </row>
    <row r="29" spans="1:2" ht="15">
      <c r="A29" s="48" t="s">
        <v>42</v>
      </c>
      <c r="B29" s="157"/>
    </row>
    <row r="30" spans="1:2" ht="15">
      <c r="A30" s="48" t="s">
        <v>384</v>
      </c>
      <c r="B30" s="157"/>
    </row>
    <row r="31" spans="1:2" ht="15">
      <c r="A31" s="345" t="s">
        <v>385</v>
      </c>
      <c r="B31" s="157"/>
    </row>
    <row r="32" spans="1:2" ht="15">
      <c r="A32" s="345" t="s">
        <v>386</v>
      </c>
      <c r="B32" s="157"/>
    </row>
  </sheetData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304"/>
  <sheetViews>
    <sheetView tabSelected="1" zoomScale="120" zoomScaleNormal="120" workbookViewId="0" topLeftCell="A197">
      <selection activeCell="B228" sqref="B228"/>
    </sheetView>
  </sheetViews>
  <sheetFormatPr defaultColWidth="9.140625" defaultRowHeight="15"/>
  <cols>
    <col min="1" max="1" width="56.7109375" style="0" customWidth="1"/>
    <col min="2" max="2" width="9.28125" style="0" customWidth="1"/>
    <col min="3" max="5" width="10.421875" style="0" customWidth="1"/>
    <col min="6" max="10" width="7.140625" style="0" customWidth="1"/>
    <col min="11" max="11" width="6.57421875" style="0" customWidth="1"/>
    <col min="12" max="12" width="7.8515625" style="0" customWidth="1"/>
    <col min="13" max="13" width="7.00390625" style="0" customWidth="1"/>
    <col min="14" max="14" width="8.140625" style="0" customWidth="1"/>
    <col min="15" max="15" width="2.8515625" style="0" customWidth="1"/>
    <col min="16" max="16" width="9.28125" style="0" customWidth="1"/>
    <col min="17" max="17" width="7.140625" style="0" customWidth="1"/>
    <col min="18" max="18" width="8.140625" style="0" customWidth="1"/>
    <col min="19" max="19" width="7.140625" style="0" customWidth="1"/>
    <col min="20" max="20" width="8.140625" style="0" customWidth="1"/>
    <col min="21" max="21" width="7.00390625" style="0" customWidth="1"/>
    <col min="22" max="1025" width="10.421875" style="0" customWidth="1"/>
  </cols>
  <sheetData>
    <row r="1" spans="1:5" ht="15">
      <c r="A1" s="49"/>
      <c r="B1" s="50" t="s">
        <v>43</v>
      </c>
      <c r="C1" s="50" t="s">
        <v>44</v>
      </c>
      <c r="D1" s="51" t="s">
        <v>45</v>
      </c>
      <c r="E1" s="52" t="s">
        <v>46</v>
      </c>
    </row>
    <row r="2" spans="1:5" ht="15">
      <c r="A2" s="53" t="s">
        <v>47</v>
      </c>
      <c r="B2" s="54">
        <v>12</v>
      </c>
      <c r="C2" s="55">
        <f>B2*Q2/100</f>
        <v>0</v>
      </c>
      <c r="D2" s="56">
        <f>C2/4</f>
        <v>0</v>
      </c>
      <c r="E2" s="52">
        <f>poids*0.8</f>
        <v>0</v>
      </c>
    </row>
    <row r="3" spans="1:4" ht="15">
      <c r="A3" s="53" t="s">
        <v>48</v>
      </c>
      <c r="B3" s="54">
        <v>33</v>
      </c>
      <c r="C3" s="55">
        <f>B3*Q2/100</f>
        <v>0</v>
      </c>
      <c r="D3" s="56">
        <f>C3/9</f>
        <v>0</v>
      </c>
    </row>
    <row r="4" spans="1:4" ht="15">
      <c r="A4" s="57" t="s">
        <v>49</v>
      </c>
      <c r="B4" s="58">
        <v>55</v>
      </c>
      <c r="C4" s="59">
        <f>B4*Q2/100</f>
        <v>0</v>
      </c>
      <c r="D4" s="60">
        <f>C4/4</f>
        <v>0</v>
      </c>
    </row>
    <row r="5" spans="13:21" ht="15">
      <c r="M5" t="s">
        <v>50</v>
      </c>
      <c r="O5" t="s">
        <v>50</v>
      </c>
      <c r="Q5" t="s">
        <v>50</v>
      </c>
      <c r="S5" t="s">
        <v>50</v>
      </c>
      <c r="U5" t="s">
        <v>50</v>
      </c>
    </row>
    <row r="6" spans="1:21" ht="15">
      <c r="A6" s="61" t="s">
        <v>51</v>
      </c>
      <c r="B6" s="62" t="s">
        <v>52</v>
      </c>
      <c r="C6" s="62" t="s">
        <v>47</v>
      </c>
      <c r="D6" s="62" t="s">
        <v>53</v>
      </c>
      <c r="E6" s="63" t="s">
        <v>54</v>
      </c>
      <c r="F6" s="64" t="s">
        <v>55</v>
      </c>
      <c r="G6" s="65" t="s">
        <v>56</v>
      </c>
      <c r="H6" s="65" t="s">
        <v>57</v>
      </c>
      <c r="I6" s="66" t="s">
        <v>58</v>
      </c>
      <c r="J6" s="66" t="s">
        <v>59</v>
      </c>
      <c r="K6" s="67" t="s">
        <v>50</v>
      </c>
      <c r="L6" s="68" t="s">
        <v>60</v>
      </c>
      <c r="M6" s="69"/>
      <c r="N6" s="70" t="s">
        <v>61</v>
      </c>
      <c r="O6" s="71"/>
      <c r="P6" s="68" t="s">
        <v>28</v>
      </c>
      <c r="Q6" s="72"/>
      <c r="R6" s="70" t="s">
        <v>62</v>
      </c>
      <c r="S6" s="73"/>
      <c r="T6" s="68" t="s">
        <v>63</v>
      </c>
      <c r="U6" s="72"/>
    </row>
    <row r="7" spans="1:21" ht="15">
      <c r="A7" s="74" t="s">
        <v>64</v>
      </c>
      <c r="B7" s="75">
        <v>250</v>
      </c>
      <c r="C7" s="76">
        <f>(3.2*B7)/100</f>
        <v>8</v>
      </c>
      <c r="D7" s="76">
        <f>1.6*B7/100</f>
        <v>4</v>
      </c>
      <c r="E7" s="77">
        <f>4.6*B7/100</f>
        <v>11.5</v>
      </c>
      <c r="F7" s="78">
        <f>47.6*B7/100</f>
        <v>119</v>
      </c>
      <c r="G7" s="79"/>
      <c r="H7" s="80">
        <f>1*B7/100</f>
        <v>2.5</v>
      </c>
      <c r="I7" s="81">
        <f>114*B7/100</f>
        <v>285</v>
      </c>
      <c r="J7" s="81">
        <f>0.1*B7/100</f>
        <v>0.25</v>
      </c>
      <c r="K7" s="82">
        <v>45.6</v>
      </c>
      <c r="L7" s="83"/>
      <c r="M7" s="84">
        <f>K7*L7/100</f>
        <v>0</v>
      </c>
      <c r="N7" s="85"/>
      <c r="O7" s="86">
        <f>N7*K7/100</f>
        <v>0</v>
      </c>
      <c r="P7" s="83"/>
      <c r="Q7" s="84">
        <f>P7*K7/100</f>
        <v>0</v>
      </c>
      <c r="R7" s="87"/>
      <c r="S7" s="88">
        <f>R7*K7/100</f>
        <v>0</v>
      </c>
      <c r="T7" s="83"/>
      <c r="U7" s="84">
        <f>T7*K7/100</f>
        <v>0</v>
      </c>
    </row>
    <row r="8" spans="1:21" ht="15">
      <c r="A8" s="89" t="s">
        <v>65</v>
      </c>
      <c r="B8" s="90">
        <v>1</v>
      </c>
      <c r="C8" s="91">
        <f>6.3*B8</f>
        <v>6.3</v>
      </c>
      <c r="D8" s="91">
        <f>2.6*B8</f>
        <v>2.6</v>
      </c>
      <c r="E8" s="92">
        <f>3.9*B8</f>
        <v>3.9</v>
      </c>
      <c r="F8" s="78">
        <f>3.9*B8/100</f>
        <v>0.039</v>
      </c>
      <c r="G8" s="79"/>
      <c r="H8" s="80">
        <f>2*B8/100</f>
        <v>0.02</v>
      </c>
      <c r="I8" s="81">
        <f>124*B8/100</f>
        <v>1.24</v>
      </c>
      <c r="J8" s="81">
        <f>0.3*B8/100</f>
        <v>0.003</v>
      </c>
      <c r="K8" s="82">
        <v>64.2</v>
      </c>
      <c r="L8" s="93"/>
      <c r="M8" s="94">
        <f>L8*K8/1</f>
        <v>0</v>
      </c>
      <c r="N8" s="85"/>
      <c r="O8" s="86">
        <f aca="true" t="shared" si="0" ref="O8:O20">N8*K8</f>
        <v>0</v>
      </c>
      <c r="P8" s="93"/>
      <c r="Q8" s="94">
        <f>P8*K8/1</f>
        <v>0</v>
      </c>
      <c r="R8" s="95"/>
      <c r="S8" s="88">
        <f>R8*K8/1</f>
        <v>0</v>
      </c>
      <c r="T8" s="93"/>
      <c r="U8" s="94">
        <f>T8*$K$8</f>
        <v>0</v>
      </c>
    </row>
    <row r="9" spans="1:21" ht="15">
      <c r="A9" s="96" t="s">
        <v>66</v>
      </c>
      <c r="B9" s="90"/>
      <c r="C9" s="91">
        <f>5.5*B9</f>
        <v>0</v>
      </c>
      <c r="D9" s="91">
        <f>4.5*B9</f>
        <v>0</v>
      </c>
      <c r="E9" s="92">
        <f>5.5*B9</f>
        <v>0</v>
      </c>
      <c r="F9" s="78">
        <f>5.5*B9</f>
        <v>0</v>
      </c>
      <c r="G9" s="79"/>
      <c r="H9" s="80">
        <f>2.5*B9</f>
        <v>0</v>
      </c>
      <c r="I9" s="81">
        <f>150*B9</f>
        <v>0</v>
      </c>
      <c r="J9" s="81"/>
      <c r="K9" s="82">
        <v>85</v>
      </c>
      <c r="L9" s="93"/>
      <c r="M9" s="94">
        <f>L9*K9/1</f>
        <v>0</v>
      </c>
      <c r="N9" s="85"/>
      <c r="O9" s="86">
        <f t="shared" si="0"/>
        <v>0</v>
      </c>
      <c r="P9" s="93"/>
      <c r="Q9" s="94">
        <f>P9*$K$8/1</f>
        <v>0</v>
      </c>
      <c r="R9" s="95"/>
      <c r="S9" s="88">
        <f>R9*K9/1</f>
        <v>0</v>
      </c>
      <c r="T9" s="93"/>
      <c r="U9" s="94">
        <f>T9*K9</f>
        <v>0</v>
      </c>
    </row>
    <row r="10" spans="1:21" ht="15">
      <c r="A10" s="96" t="s">
        <v>67</v>
      </c>
      <c r="B10" s="90"/>
      <c r="C10" s="91">
        <f>6.2*B10</f>
        <v>0</v>
      </c>
      <c r="D10" s="91">
        <f>14.3*B10</f>
        <v>0</v>
      </c>
      <c r="E10" s="92">
        <f>7.5*B10</f>
        <v>0</v>
      </c>
      <c r="F10" s="78"/>
      <c r="G10" s="79"/>
      <c r="H10" s="80"/>
      <c r="I10" s="81"/>
      <c r="J10" s="81"/>
      <c r="K10" s="82">
        <v>183</v>
      </c>
      <c r="L10" s="93"/>
      <c r="M10" s="94">
        <f>L10*K10/1</f>
        <v>0</v>
      </c>
      <c r="N10" s="85"/>
      <c r="O10" s="86">
        <f t="shared" si="0"/>
        <v>0</v>
      </c>
      <c r="P10" s="93"/>
      <c r="Q10" s="94">
        <f>P10*$K$8/1</f>
        <v>0</v>
      </c>
      <c r="R10" s="95"/>
      <c r="S10" s="88">
        <f>R10*K10/1</f>
        <v>0</v>
      </c>
      <c r="T10" s="93"/>
      <c r="U10" s="94">
        <f>T10*K9</f>
        <v>0</v>
      </c>
    </row>
    <row r="11" spans="1:21" ht="15">
      <c r="A11" s="96" t="s">
        <v>68</v>
      </c>
      <c r="B11" s="90"/>
      <c r="C11" s="91">
        <f>4.5*B11</f>
        <v>0</v>
      </c>
      <c r="D11" s="91">
        <f>0.2*B11</f>
        <v>0</v>
      </c>
      <c r="E11" s="92">
        <f>4.9*B11</f>
        <v>0</v>
      </c>
      <c r="F11" s="78">
        <f>4.9*B11</f>
        <v>0</v>
      </c>
      <c r="G11" s="79"/>
      <c r="H11" s="80">
        <f>0.1*B11</f>
        <v>0</v>
      </c>
      <c r="I11" s="81">
        <f>150*B11</f>
        <v>0</v>
      </c>
      <c r="J11" s="81">
        <f>0.1*B11</f>
        <v>0</v>
      </c>
      <c r="K11" s="82">
        <v>39.4</v>
      </c>
      <c r="L11" s="93"/>
      <c r="M11" s="94">
        <f>L11*K11</f>
        <v>0</v>
      </c>
      <c r="N11" s="85"/>
      <c r="O11" s="86">
        <f t="shared" si="0"/>
        <v>0</v>
      </c>
      <c r="P11" s="93"/>
      <c r="Q11" s="94">
        <f aca="true" t="shared" si="1" ref="Q11:Q19">P11*K11</f>
        <v>0</v>
      </c>
      <c r="R11" s="95"/>
      <c r="S11" s="88">
        <f aca="true" t="shared" si="2" ref="S11:S20">R11*K11</f>
        <v>0</v>
      </c>
      <c r="T11" s="93"/>
      <c r="U11" s="94">
        <f aca="true" t="shared" si="3" ref="U11:U20">T11*K11</f>
        <v>0</v>
      </c>
    </row>
    <row r="12" spans="1:21" ht="15">
      <c r="A12" s="96" t="s">
        <v>69</v>
      </c>
      <c r="B12" s="90"/>
      <c r="C12" s="91">
        <f>4.3*B12</f>
        <v>0</v>
      </c>
      <c r="D12" s="91">
        <f>1.1*B12</f>
        <v>0</v>
      </c>
      <c r="E12" s="92">
        <f>4.8*B12</f>
        <v>0</v>
      </c>
      <c r="F12" s="78">
        <f>4.8*B12</f>
        <v>0</v>
      </c>
      <c r="G12" s="79"/>
      <c r="H12" s="80">
        <f>0.7*B12</f>
        <v>0</v>
      </c>
      <c r="I12" s="81">
        <f>173*B12</f>
        <v>0</v>
      </c>
      <c r="J12" s="81">
        <f>0.1*B12</f>
        <v>0</v>
      </c>
      <c r="K12" s="82">
        <v>46.3</v>
      </c>
      <c r="L12" s="93"/>
      <c r="M12" s="94">
        <f>L12*K12</f>
        <v>0</v>
      </c>
      <c r="N12" s="85"/>
      <c r="O12" s="86">
        <f t="shared" si="0"/>
        <v>0</v>
      </c>
      <c r="P12" s="93"/>
      <c r="Q12" s="94">
        <f t="shared" si="1"/>
        <v>0</v>
      </c>
      <c r="R12" s="95"/>
      <c r="S12" s="88">
        <f t="shared" si="2"/>
        <v>0</v>
      </c>
      <c r="T12" s="93"/>
      <c r="U12" s="94">
        <f t="shared" si="3"/>
        <v>0</v>
      </c>
    </row>
    <row r="13" spans="1:21" ht="15">
      <c r="A13" s="96" t="s">
        <v>70</v>
      </c>
      <c r="B13" s="90"/>
      <c r="C13" s="91">
        <f>4.1*B13</f>
        <v>0</v>
      </c>
      <c r="D13" s="91">
        <f>3.9*B13</f>
        <v>0</v>
      </c>
      <c r="E13" s="92">
        <f>15.6*B13</f>
        <v>0</v>
      </c>
      <c r="F13" s="78">
        <f>15.6*B13</f>
        <v>0</v>
      </c>
      <c r="G13" s="79"/>
      <c r="H13" s="80">
        <f>2.6*B13</f>
        <v>0</v>
      </c>
      <c r="I13" s="81">
        <f>158*B13</f>
        <v>0</v>
      </c>
      <c r="J13" s="81">
        <f>0.1*B13</f>
        <v>0</v>
      </c>
      <c r="K13" s="82">
        <v>114</v>
      </c>
      <c r="L13" s="93"/>
      <c r="M13" s="94">
        <f>L13*K13</f>
        <v>0</v>
      </c>
      <c r="N13" s="85"/>
      <c r="O13" s="86">
        <f t="shared" si="0"/>
        <v>0</v>
      </c>
      <c r="P13" s="93"/>
      <c r="Q13" s="94">
        <f t="shared" si="1"/>
        <v>0</v>
      </c>
      <c r="R13" s="95"/>
      <c r="S13" s="88">
        <f t="shared" si="2"/>
        <v>0</v>
      </c>
      <c r="T13" s="93"/>
      <c r="U13" s="94">
        <f t="shared" si="3"/>
        <v>0</v>
      </c>
    </row>
    <row r="14" spans="1:21" ht="15">
      <c r="A14" s="96" t="s">
        <v>71</v>
      </c>
      <c r="B14" s="90"/>
      <c r="C14" s="91">
        <f>3.1*B14</f>
        <v>0</v>
      </c>
      <c r="D14" s="91">
        <f>0.9*B14</f>
        <v>0</v>
      </c>
      <c r="E14" s="92">
        <f>16.2*B14</f>
        <v>0</v>
      </c>
      <c r="F14" s="78">
        <f>16.2*B14</f>
        <v>0</v>
      </c>
      <c r="G14" s="79"/>
      <c r="H14" s="80">
        <f>0.6*B14</f>
        <v>0</v>
      </c>
      <c r="I14" s="81">
        <f>141*B14</f>
        <v>0</v>
      </c>
      <c r="J14" s="81">
        <f>0.1*B14</f>
        <v>0</v>
      </c>
      <c r="K14" s="82">
        <v>87.1</v>
      </c>
      <c r="L14" s="93"/>
      <c r="M14" s="94">
        <f>L14*K14</f>
        <v>0</v>
      </c>
      <c r="N14" s="85"/>
      <c r="O14" s="86">
        <f t="shared" si="0"/>
        <v>0</v>
      </c>
      <c r="P14" s="93"/>
      <c r="Q14" s="94">
        <f t="shared" si="1"/>
        <v>0</v>
      </c>
      <c r="R14" s="95"/>
      <c r="S14" s="88">
        <f t="shared" si="2"/>
        <v>0</v>
      </c>
      <c r="T14" s="93"/>
      <c r="U14" s="94">
        <f t="shared" si="3"/>
        <v>0</v>
      </c>
    </row>
    <row r="15" spans="1:21" s="97" customFormat="1" ht="15">
      <c r="A15" s="96" t="s">
        <v>72</v>
      </c>
      <c r="B15" s="90"/>
      <c r="C15" s="91">
        <f>4.1*B15</f>
        <v>0</v>
      </c>
      <c r="D15" s="91">
        <f>0.2*B15</f>
        <v>0</v>
      </c>
      <c r="E15" s="92">
        <f>6.9*B15</f>
        <v>0</v>
      </c>
      <c r="F15" s="78">
        <f>8*B15</f>
        <v>0</v>
      </c>
      <c r="G15" s="79"/>
      <c r="H15" s="80">
        <f>0.1*B15</f>
        <v>0</v>
      </c>
      <c r="I15" s="81">
        <f>134*B15</f>
        <v>0</v>
      </c>
      <c r="J15" s="81">
        <f>0.2*B15</f>
        <v>0</v>
      </c>
      <c r="K15" s="82">
        <v>45.7</v>
      </c>
      <c r="L15" s="93"/>
      <c r="M15" s="94">
        <f aca="true" t="shared" si="4" ref="M15:M20">K15*L15</f>
        <v>0</v>
      </c>
      <c r="N15" s="85"/>
      <c r="O15" s="86">
        <f t="shared" si="0"/>
        <v>0</v>
      </c>
      <c r="P15" s="93"/>
      <c r="Q15" s="94">
        <f t="shared" si="1"/>
        <v>0</v>
      </c>
      <c r="R15" s="95"/>
      <c r="S15" s="88">
        <f t="shared" si="2"/>
        <v>0</v>
      </c>
      <c r="T15" s="93"/>
      <c r="U15" s="94">
        <f t="shared" si="3"/>
        <v>0</v>
      </c>
    </row>
    <row r="16" spans="1:21" ht="15">
      <c r="A16" s="98" t="s">
        <v>73</v>
      </c>
      <c r="B16" s="99"/>
      <c r="C16" s="100">
        <f>5.4*B16</f>
        <v>0</v>
      </c>
      <c r="D16" s="100">
        <f>0.125*B16</f>
        <v>0</v>
      </c>
      <c r="E16" s="101">
        <f>5.6*B16</f>
        <v>0</v>
      </c>
      <c r="F16" s="102">
        <f>5.6*B16</f>
        <v>0</v>
      </c>
      <c r="G16" s="103"/>
      <c r="H16" s="104">
        <f>0*B16</f>
        <v>0</v>
      </c>
      <c r="I16" s="105">
        <f>175*B16</f>
        <v>0</v>
      </c>
      <c r="J16" s="105"/>
      <c r="K16" s="106">
        <v>45</v>
      </c>
      <c r="L16" s="107"/>
      <c r="M16" s="94">
        <f t="shared" si="4"/>
        <v>0</v>
      </c>
      <c r="N16" s="108"/>
      <c r="O16" s="86">
        <f t="shared" si="0"/>
        <v>0</v>
      </c>
      <c r="P16" s="107"/>
      <c r="Q16" s="94">
        <f t="shared" si="1"/>
        <v>0</v>
      </c>
      <c r="R16" s="109"/>
      <c r="S16" s="88">
        <f t="shared" si="2"/>
        <v>0</v>
      </c>
      <c r="T16" s="107"/>
      <c r="U16" s="94">
        <f t="shared" si="3"/>
        <v>0</v>
      </c>
    </row>
    <row r="17" spans="1:21" ht="15">
      <c r="A17" s="98" t="s">
        <v>74</v>
      </c>
      <c r="B17" s="99"/>
      <c r="C17" s="100">
        <f>8.3*B17</f>
        <v>0</v>
      </c>
      <c r="D17" s="100">
        <f>2.6*B17</f>
        <v>0</v>
      </c>
      <c r="E17" s="101">
        <f>3.6*B17</f>
        <v>0</v>
      </c>
      <c r="F17" s="102">
        <f>3.6*B17</f>
        <v>0</v>
      </c>
      <c r="G17" s="103"/>
      <c r="H17" s="104">
        <f>1.7*B17</f>
        <v>0</v>
      </c>
      <c r="I17" s="105">
        <f>117*B17</f>
        <v>0</v>
      </c>
      <c r="J17" s="105">
        <f>0.4*B17</f>
        <v>0</v>
      </c>
      <c r="K17" s="106">
        <v>71</v>
      </c>
      <c r="L17" s="107"/>
      <c r="M17" s="94">
        <f t="shared" si="4"/>
        <v>0</v>
      </c>
      <c r="N17" s="108"/>
      <c r="O17" s="86">
        <f t="shared" si="0"/>
        <v>0</v>
      </c>
      <c r="P17" s="107"/>
      <c r="Q17" s="94">
        <f t="shared" si="1"/>
        <v>0</v>
      </c>
      <c r="R17" s="109"/>
      <c r="S17" s="88">
        <f t="shared" si="2"/>
        <v>0</v>
      </c>
      <c r="T17" s="107"/>
      <c r="U17" s="94">
        <f t="shared" si="3"/>
        <v>0</v>
      </c>
    </row>
    <row r="18" spans="1:21" ht="15">
      <c r="A18" s="98" t="s">
        <v>75</v>
      </c>
      <c r="B18" s="99"/>
      <c r="C18" s="100">
        <f>7.5*B18</f>
        <v>0</v>
      </c>
      <c r="D18" s="100">
        <f>0.1*B18</f>
        <v>0</v>
      </c>
      <c r="E18" s="101">
        <f>3.7*B18</f>
        <v>0</v>
      </c>
      <c r="F18" s="102">
        <f>3.7*B18</f>
        <v>0</v>
      </c>
      <c r="G18" s="103"/>
      <c r="H18" s="103"/>
      <c r="I18" s="105">
        <f>126*B18</f>
        <v>0</v>
      </c>
      <c r="J18" s="105">
        <f>0.4*B18</f>
        <v>0</v>
      </c>
      <c r="K18" s="106">
        <v>45.7</v>
      </c>
      <c r="L18" s="107"/>
      <c r="M18" s="94">
        <f t="shared" si="4"/>
        <v>0</v>
      </c>
      <c r="N18" s="108"/>
      <c r="O18" s="86">
        <f t="shared" si="0"/>
        <v>0</v>
      </c>
      <c r="P18" s="107"/>
      <c r="Q18" s="94">
        <f t="shared" si="1"/>
        <v>0</v>
      </c>
      <c r="R18" s="109"/>
      <c r="S18" s="88">
        <f t="shared" si="2"/>
        <v>0</v>
      </c>
      <c r="T18" s="107"/>
      <c r="U18" s="94">
        <f t="shared" si="3"/>
        <v>0</v>
      </c>
    </row>
    <row r="19" spans="1:21" ht="15">
      <c r="A19" s="98" t="s">
        <v>76</v>
      </c>
      <c r="B19" s="99"/>
      <c r="C19" s="100">
        <f>3.9*B19</f>
        <v>0</v>
      </c>
      <c r="D19" s="100">
        <f>12.5*B19</f>
        <v>0</v>
      </c>
      <c r="E19" s="101">
        <f>4.9*B19</f>
        <v>0</v>
      </c>
      <c r="F19" s="102">
        <f>4.9*B19</f>
        <v>0</v>
      </c>
      <c r="G19" s="103"/>
      <c r="H19" s="104">
        <f>8*B19</f>
        <v>0</v>
      </c>
      <c r="I19" s="105"/>
      <c r="J19" s="105"/>
      <c r="K19" s="106">
        <v>148</v>
      </c>
      <c r="L19" s="107"/>
      <c r="M19" s="110">
        <f t="shared" si="4"/>
        <v>0</v>
      </c>
      <c r="N19" s="108"/>
      <c r="O19" s="86">
        <f t="shared" si="0"/>
        <v>0</v>
      </c>
      <c r="P19" s="107"/>
      <c r="Q19" s="94">
        <f t="shared" si="1"/>
        <v>0</v>
      </c>
      <c r="R19" s="109"/>
      <c r="S19" s="88">
        <f t="shared" si="2"/>
        <v>0</v>
      </c>
      <c r="T19" s="107"/>
      <c r="U19" s="94">
        <f t="shared" si="3"/>
        <v>0</v>
      </c>
    </row>
    <row r="20" spans="1:21" ht="15">
      <c r="A20" s="98" t="s">
        <v>77</v>
      </c>
      <c r="B20" s="99"/>
      <c r="C20" s="100">
        <f>11*B20</f>
        <v>0</v>
      </c>
      <c r="D20" s="111"/>
      <c r="E20" s="101">
        <f>11*B20</f>
        <v>0</v>
      </c>
      <c r="F20" s="102"/>
      <c r="G20" s="103"/>
      <c r="H20" s="103"/>
      <c r="I20" s="105"/>
      <c r="J20" s="105"/>
      <c r="K20" s="106">
        <v>90</v>
      </c>
      <c r="L20" s="107"/>
      <c r="M20" s="110">
        <f t="shared" si="4"/>
        <v>0</v>
      </c>
      <c r="N20" s="108"/>
      <c r="O20" s="86">
        <f t="shared" si="0"/>
        <v>0</v>
      </c>
      <c r="P20" s="107"/>
      <c r="Q20" s="94"/>
      <c r="R20" s="109"/>
      <c r="S20" s="88">
        <f t="shared" si="2"/>
        <v>0</v>
      </c>
      <c r="T20" s="107"/>
      <c r="U20" s="94">
        <f t="shared" si="3"/>
        <v>0</v>
      </c>
    </row>
    <row r="21" spans="1:21" ht="15">
      <c r="A21" s="98" t="s">
        <v>78</v>
      </c>
      <c r="B21" s="99"/>
      <c r="C21" s="100">
        <f>8.1*B21/100</f>
        <v>0</v>
      </c>
      <c r="D21" s="100">
        <f>7.2*B21/100</f>
        <v>0</v>
      </c>
      <c r="E21" s="101">
        <f>3.6*B21/100</f>
        <v>0</v>
      </c>
      <c r="F21" s="102">
        <f>3.6*B21*100</f>
        <v>0</v>
      </c>
      <c r="G21" s="103"/>
      <c r="H21" s="104">
        <f>4.6*B21/100</f>
        <v>0</v>
      </c>
      <c r="I21" s="105">
        <f>115*B21/100</f>
        <v>0</v>
      </c>
      <c r="J21" s="105">
        <f>0.4*B21/100</f>
        <v>0</v>
      </c>
      <c r="K21" s="106">
        <v>111.6</v>
      </c>
      <c r="L21" s="107"/>
      <c r="M21" s="110">
        <f>L21*K21/100</f>
        <v>0</v>
      </c>
      <c r="N21" s="108"/>
      <c r="O21" s="86">
        <f>N21*K21/100</f>
        <v>0</v>
      </c>
      <c r="P21" s="107"/>
      <c r="Q21" s="94">
        <f>P21*K21/100</f>
        <v>0</v>
      </c>
      <c r="R21" s="109"/>
      <c r="S21" s="88">
        <f>R21*K21/100</f>
        <v>0</v>
      </c>
      <c r="T21" s="107"/>
      <c r="U21" s="94">
        <f>T21*K21/100</f>
        <v>0</v>
      </c>
    </row>
    <row r="22" spans="1:21" ht="15">
      <c r="A22" s="98" t="s">
        <v>79</v>
      </c>
      <c r="B22" s="99"/>
      <c r="C22" s="100">
        <f>2.8*B22</f>
        <v>0</v>
      </c>
      <c r="D22" s="100">
        <f>1.3*C22</f>
        <v>0</v>
      </c>
      <c r="E22" s="101">
        <f>10.5*B22</f>
        <v>0</v>
      </c>
      <c r="F22" s="102">
        <f>10.5*B22</f>
        <v>0</v>
      </c>
      <c r="G22" s="103"/>
      <c r="H22" s="104">
        <f>0.9*B22</f>
        <v>0</v>
      </c>
      <c r="I22" s="105"/>
      <c r="J22" s="105"/>
      <c r="K22" s="106">
        <v>68</v>
      </c>
      <c r="L22" s="107"/>
      <c r="M22" s="110">
        <f>L22*K22</f>
        <v>0</v>
      </c>
      <c r="N22" s="108"/>
      <c r="O22" s="86">
        <f aca="true" t="shared" si="5" ref="O22:O34">N22*K22</f>
        <v>0</v>
      </c>
      <c r="P22" s="107"/>
      <c r="Q22" s="94">
        <f aca="true" t="shared" si="6" ref="Q22:Q34">P22*K22</f>
        <v>0</v>
      </c>
      <c r="R22" s="109"/>
      <c r="S22" s="88">
        <f aca="true" t="shared" si="7" ref="S22:S34">R22*K22</f>
        <v>0</v>
      </c>
      <c r="T22" s="107"/>
      <c r="U22" s="94">
        <f aca="true" t="shared" si="8" ref="U22:U34">T22*K22</f>
        <v>0</v>
      </c>
    </row>
    <row r="23" spans="1:21" ht="15">
      <c r="A23" s="98" t="s">
        <v>80</v>
      </c>
      <c r="B23" s="99"/>
      <c r="C23" s="100">
        <f>4.1*B23</f>
        <v>0</v>
      </c>
      <c r="D23" s="100">
        <f>4.3*B23</f>
        <v>0</v>
      </c>
      <c r="E23" s="101">
        <f>6*B23</f>
        <v>0</v>
      </c>
      <c r="F23" s="102">
        <f>6*B23</f>
        <v>0</v>
      </c>
      <c r="G23" s="103"/>
      <c r="H23" s="104">
        <f>2.8*B23</f>
        <v>0</v>
      </c>
      <c r="I23" s="105"/>
      <c r="J23" s="105"/>
      <c r="K23" s="106">
        <v>79</v>
      </c>
      <c r="L23" s="107"/>
      <c r="M23" s="110">
        <f>L23*K23</f>
        <v>0</v>
      </c>
      <c r="N23" s="108"/>
      <c r="O23" s="86">
        <f t="shared" si="5"/>
        <v>0</v>
      </c>
      <c r="P23" s="107"/>
      <c r="Q23" s="94">
        <f t="shared" si="6"/>
        <v>0</v>
      </c>
      <c r="R23" s="109"/>
      <c r="S23" s="88">
        <f t="shared" si="7"/>
        <v>0</v>
      </c>
      <c r="T23" s="107"/>
      <c r="U23" s="94">
        <f t="shared" si="8"/>
        <v>0</v>
      </c>
    </row>
    <row r="24" spans="1:21" ht="15">
      <c r="A24" s="98" t="s">
        <v>81</v>
      </c>
      <c r="B24" s="99"/>
      <c r="C24" s="100">
        <f>4.1*B24</f>
        <v>0</v>
      </c>
      <c r="D24" s="100">
        <f>3.7*B24</f>
        <v>0</v>
      </c>
      <c r="E24" s="101">
        <f>23.5*B24/100</f>
        <v>0</v>
      </c>
      <c r="F24" s="102">
        <f>22*B24</f>
        <v>0</v>
      </c>
      <c r="G24" s="103"/>
      <c r="H24" s="104">
        <f>2.5*B24</f>
        <v>0</v>
      </c>
      <c r="I24" s="105">
        <v>0</v>
      </c>
      <c r="J24" s="105">
        <v>0</v>
      </c>
      <c r="K24" s="106">
        <v>144</v>
      </c>
      <c r="L24" s="107"/>
      <c r="M24" s="110">
        <f>K24*L24</f>
        <v>0</v>
      </c>
      <c r="N24" s="108"/>
      <c r="O24" s="86">
        <f t="shared" si="5"/>
        <v>0</v>
      </c>
      <c r="P24" s="107"/>
      <c r="Q24" s="94">
        <f t="shared" si="6"/>
        <v>0</v>
      </c>
      <c r="R24" s="109"/>
      <c r="S24" s="88">
        <f t="shared" si="7"/>
        <v>0</v>
      </c>
      <c r="T24" s="107"/>
      <c r="U24" s="94">
        <f t="shared" si="8"/>
        <v>0</v>
      </c>
    </row>
    <row r="25" spans="1:21" ht="15">
      <c r="A25" s="98" t="s">
        <v>82</v>
      </c>
      <c r="B25" s="99"/>
      <c r="C25" s="100">
        <f>3*B25</f>
        <v>0</v>
      </c>
      <c r="D25" s="100">
        <f>0.8*B25</f>
        <v>0</v>
      </c>
      <c r="E25" s="101">
        <f>20.3*B25</f>
        <v>0</v>
      </c>
      <c r="F25" s="102">
        <f>16.6*B25</f>
        <v>0</v>
      </c>
      <c r="G25" s="103"/>
      <c r="H25" s="104">
        <f>0.5*B25</f>
        <v>0</v>
      </c>
      <c r="I25" s="105">
        <f>0.11*B25</f>
        <v>0</v>
      </c>
      <c r="J25" s="105">
        <v>0</v>
      </c>
      <c r="K25" s="106">
        <v>100</v>
      </c>
      <c r="L25" s="107"/>
      <c r="M25" s="110">
        <f aca="true" t="shared" si="9" ref="M25:M34">L25*K25</f>
        <v>0</v>
      </c>
      <c r="N25" s="108"/>
      <c r="O25" s="86">
        <f t="shared" si="5"/>
        <v>0</v>
      </c>
      <c r="P25" s="107"/>
      <c r="Q25" s="94">
        <f t="shared" si="6"/>
        <v>0</v>
      </c>
      <c r="R25" s="109"/>
      <c r="S25" s="88">
        <f t="shared" si="7"/>
        <v>0</v>
      </c>
      <c r="T25" s="107"/>
      <c r="U25" s="94">
        <f t="shared" si="8"/>
        <v>0</v>
      </c>
    </row>
    <row r="26" spans="1:21" ht="15">
      <c r="A26" s="98" t="s">
        <v>83</v>
      </c>
      <c r="B26" s="99">
        <v>1</v>
      </c>
      <c r="C26" s="100">
        <f>3.45*B26</f>
        <v>3.45</v>
      </c>
      <c r="D26" s="100">
        <f>3.45*B26</f>
        <v>3.45</v>
      </c>
      <c r="E26" s="101">
        <f>25.3*B26</f>
        <v>25.3</v>
      </c>
      <c r="F26" s="102">
        <f>13.8*B26</f>
        <v>13.8</v>
      </c>
      <c r="G26" s="104">
        <f>11.5*B26</f>
        <v>11.5</v>
      </c>
      <c r="H26" s="104">
        <f>2.3*B26</f>
        <v>2.3</v>
      </c>
      <c r="I26" s="105"/>
      <c r="J26" s="105"/>
      <c r="K26" s="106">
        <v>150</v>
      </c>
      <c r="L26" s="107"/>
      <c r="M26" s="110">
        <f t="shared" si="9"/>
        <v>0</v>
      </c>
      <c r="N26" s="108"/>
      <c r="O26" s="86">
        <f t="shared" si="5"/>
        <v>0</v>
      </c>
      <c r="P26" s="107"/>
      <c r="Q26" s="94">
        <f t="shared" si="6"/>
        <v>0</v>
      </c>
      <c r="R26" s="109"/>
      <c r="S26" s="88">
        <f t="shared" si="7"/>
        <v>0</v>
      </c>
      <c r="T26" s="107"/>
      <c r="U26" s="94">
        <f t="shared" si="8"/>
        <v>0</v>
      </c>
    </row>
    <row r="27" spans="1:21" ht="15">
      <c r="A27" s="98" t="s">
        <v>84</v>
      </c>
      <c r="B27" s="99"/>
      <c r="C27" s="100">
        <f>3.45*B27</f>
        <v>0</v>
      </c>
      <c r="D27" s="100">
        <f>3.45*B27</f>
        <v>0</v>
      </c>
      <c r="E27" s="101">
        <f>24.15*B27</f>
        <v>0</v>
      </c>
      <c r="F27" s="102">
        <f>13.8*B27</f>
        <v>0</v>
      </c>
      <c r="G27" s="104">
        <f>10.35*B27</f>
        <v>0</v>
      </c>
      <c r="H27" s="104">
        <f>2.3*B27</f>
        <v>0</v>
      </c>
      <c r="I27" s="105"/>
      <c r="J27" s="105"/>
      <c r="K27" s="106">
        <v>140</v>
      </c>
      <c r="L27" s="107"/>
      <c r="M27" s="110">
        <f t="shared" si="9"/>
        <v>0</v>
      </c>
      <c r="N27" s="108"/>
      <c r="O27" s="86">
        <f t="shared" si="5"/>
        <v>0</v>
      </c>
      <c r="P27" s="107"/>
      <c r="Q27" s="94">
        <f t="shared" si="6"/>
        <v>0</v>
      </c>
      <c r="R27" s="109"/>
      <c r="S27" s="88">
        <f t="shared" si="7"/>
        <v>0</v>
      </c>
      <c r="T27" s="107"/>
      <c r="U27" s="94">
        <f t="shared" si="8"/>
        <v>0</v>
      </c>
    </row>
    <row r="28" spans="1:21" ht="15">
      <c r="A28" s="98" t="s">
        <v>85</v>
      </c>
      <c r="B28" s="99"/>
      <c r="C28" s="100">
        <f>4*B28</f>
        <v>0</v>
      </c>
      <c r="D28" s="100">
        <f>3*B28</f>
        <v>0</v>
      </c>
      <c r="E28" s="101">
        <f>24*B28</f>
        <v>0</v>
      </c>
      <c r="F28" s="102">
        <f>15*B28</f>
        <v>0</v>
      </c>
      <c r="G28" s="104">
        <f>9*B28</f>
        <v>0</v>
      </c>
      <c r="H28" s="104">
        <f>2*B28</f>
        <v>0</v>
      </c>
      <c r="I28" s="105"/>
      <c r="J28" s="105"/>
      <c r="K28" s="106">
        <v>140</v>
      </c>
      <c r="L28" s="107"/>
      <c r="M28" s="110">
        <f t="shared" si="9"/>
        <v>0</v>
      </c>
      <c r="N28" s="108"/>
      <c r="O28" s="86">
        <f t="shared" si="5"/>
        <v>0</v>
      </c>
      <c r="P28" s="107"/>
      <c r="Q28" s="94">
        <f t="shared" si="6"/>
        <v>0</v>
      </c>
      <c r="R28" s="109"/>
      <c r="S28" s="88">
        <f t="shared" si="7"/>
        <v>0</v>
      </c>
      <c r="T28" s="107"/>
      <c r="U28" s="94">
        <f t="shared" si="8"/>
        <v>0</v>
      </c>
    </row>
    <row r="29" spans="1:21" ht="15">
      <c r="A29" s="98" t="s">
        <v>86</v>
      </c>
      <c r="B29" s="99"/>
      <c r="C29" s="100">
        <f>3.9*B29</f>
        <v>0</v>
      </c>
      <c r="D29" s="100">
        <f>13.4*B29</f>
        <v>0</v>
      </c>
      <c r="E29" s="101">
        <f>16.7*B29</f>
        <v>0</v>
      </c>
      <c r="F29" s="102"/>
      <c r="G29" s="104"/>
      <c r="H29" s="104"/>
      <c r="I29" s="105"/>
      <c r="J29" s="105"/>
      <c r="K29" s="106">
        <v>204</v>
      </c>
      <c r="L29" s="107"/>
      <c r="M29" s="110">
        <f t="shared" si="9"/>
        <v>0</v>
      </c>
      <c r="N29" s="108"/>
      <c r="O29" s="86">
        <f t="shared" si="5"/>
        <v>0</v>
      </c>
      <c r="P29" s="107"/>
      <c r="Q29" s="94">
        <f t="shared" si="6"/>
        <v>0</v>
      </c>
      <c r="R29" s="109"/>
      <c r="S29" s="88">
        <f t="shared" si="7"/>
        <v>0</v>
      </c>
      <c r="T29" s="107"/>
      <c r="U29" s="94">
        <f t="shared" si="8"/>
        <v>0</v>
      </c>
    </row>
    <row r="30" spans="1:21" ht="15">
      <c r="A30" s="98" t="s">
        <v>87</v>
      </c>
      <c r="B30" s="99"/>
      <c r="C30" s="100">
        <f>4.9*B30</f>
        <v>0</v>
      </c>
      <c r="D30" s="100">
        <f>12*B30</f>
        <v>0</v>
      </c>
      <c r="E30" s="101">
        <f>19.9*B30</f>
        <v>0</v>
      </c>
      <c r="F30" s="102"/>
      <c r="G30" s="104"/>
      <c r="H30" s="104"/>
      <c r="I30" s="105"/>
      <c r="J30" s="105"/>
      <c r="K30" s="106">
        <v>208</v>
      </c>
      <c r="L30" s="107"/>
      <c r="M30" s="110">
        <f t="shared" si="9"/>
        <v>0</v>
      </c>
      <c r="N30" s="108"/>
      <c r="O30" s="86">
        <f t="shared" si="5"/>
        <v>0</v>
      </c>
      <c r="P30" s="107"/>
      <c r="Q30" s="94">
        <f t="shared" si="6"/>
        <v>0</v>
      </c>
      <c r="R30" s="109"/>
      <c r="S30" s="88">
        <f t="shared" si="7"/>
        <v>0</v>
      </c>
      <c r="T30" s="107"/>
      <c r="U30" s="94">
        <f t="shared" si="8"/>
        <v>0</v>
      </c>
    </row>
    <row r="31" spans="1:21" ht="15">
      <c r="A31" s="98" t="s">
        <v>88</v>
      </c>
      <c r="B31" s="99"/>
      <c r="C31" s="100">
        <f>4.9*B31</f>
        <v>0</v>
      </c>
      <c r="D31" s="100">
        <f>12.4*B31</f>
        <v>0</v>
      </c>
      <c r="E31" s="101">
        <f>19.5*B31</f>
        <v>0</v>
      </c>
      <c r="F31" s="102"/>
      <c r="G31" s="104"/>
      <c r="H31" s="104"/>
      <c r="I31" s="105"/>
      <c r="J31" s="105"/>
      <c r="K31" s="106">
        <v>208</v>
      </c>
      <c r="L31" s="107"/>
      <c r="M31" s="110">
        <f t="shared" si="9"/>
        <v>0</v>
      </c>
      <c r="N31" s="108"/>
      <c r="O31" s="86">
        <f t="shared" si="5"/>
        <v>0</v>
      </c>
      <c r="P31" s="107"/>
      <c r="Q31" s="94">
        <f t="shared" si="6"/>
        <v>0</v>
      </c>
      <c r="R31" s="109"/>
      <c r="S31" s="88">
        <f t="shared" si="7"/>
        <v>0</v>
      </c>
      <c r="T31" s="107"/>
      <c r="U31" s="94">
        <f t="shared" si="8"/>
        <v>0</v>
      </c>
    </row>
    <row r="32" spans="1:21" ht="15">
      <c r="A32" s="98" t="s">
        <v>89</v>
      </c>
      <c r="B32" s="99"/>
      <c r="C32" s="100">
        <f>4.4*B32</f>
        <v>0</v>
      </c>
      <c r="D32" s="100">
        <f>2.6*B32</f>
        <v>0</v>
      </c>
      <c r="E32" s="101">
        <f>19.9*B32</f>
        <v>0</v>
      </c>
      <c r="F32" s="102"/>
      <c r="G32" s="104"/>
      <c r="H32" s="104"/>
      <c r="I32" s="105"/>
      <c r="J32" s="105"/>
      <c r="K32" s="106">
        <v>121</v>
      </c>
      <c r="L32" s="107"/>
      <c r="M32" s="110">
        <f t="shared" si="9"/>
        <v>0</v>
      </c>
      <c r="N32" s="108"/>
      <c r="O32" s="86">
        <f t="shared" si="5"/>
        <v>0</v>
      </c>
      <c r="P32" s="107"/>
      <c r="Q32" s="94">
        <f t="shared" si="6"/>
        <v>0</v>
      </c>
      <c r="R32" s="109"/>
      <c r="S32" s="88">
        <f t="shared" si="7"/>
        <v>0</v>
      </c>
      <c r="T32" s="107"/>
      <c r="U32" s="94">
        <f t="shared" si="8"/>
        <v>0</v>
      </c>
    </row>
    <row r="33" spans="1:21" ht="15">
      <c r="A33" s="98" t="s">
        <v>90</v>
      </c>
      <c r="B33" s="99"/>
      <c r="C33" s="100">
        <f>2.4*B33</f>
        <v>0</v>
      </c>
      <c r="D33" s="100">
        <f>2.7*B33</f>
        <v>0</v>
      </c>
      <c r="E33" s="101">
        <f>24.3*B33</f>
        <v>0</v>
      </c>
      <c r="F33" s="102"/>
      <c r="G33" s="104"/>
      <c r="H33" s="104"/>
      <c r="I33" s="105"/>
      <c r="J33" s="105"/>
      <c r="K33" s="106">
        <v>132</v>
      </c>
      <c r="L33" s="107"/>
      <c r="M33" s="110">
        <f t="shared" si="9"/>
        <v>0</v>
      </c>
      <c r="N33" s="108"/>
      <c r="O33" s="86">
        <f t="shared" si="5"/>
        <v>0</v>
      </c>
      <c r="P33" s="107"/>
      <c r="Q33" s="94">
        <f t="shared" si="6"/>
        <v>0</v>
      </c>
      <c r="R33" s="109"/>
      <c r="S33" s="88">
        <f t="shared" si="7"/>
        <v>0</v>
      </c>
      <c r="T33" s="107"/>
      <c r="U33" s="94">
        <f t="shared" si="8"/>
        <v>0</v>
      </c>
    </row>
    <row r="34" spans="1:21" ht="15">
      <c r="A34" s="98" t="s">
        <v>91</v>
      </c>
      <c r="B34" s="99"/>
      <c r="C34" s="100">
        <f>2.83*B34</f>
        <v>0</v>
      </c>
      <c r="D34" s="100">
        <f>4.95*B34</f>
        <v>0</v>
      </c>
      <c r="E34" s="101">
        <f>13.86*B34</f>
        <v>0</v>
      </c>
      <c r="F34" s="102"/>
      <c r="G34" s="104"/>
      <c r="H34" s="104"/>
      <c r="I34" s="105"/>
      <c r="J34" s="105"/>
      <c r="K34" s="106">
        <v>115.51</v>
      </c>
      <c r="L34" s="107"/>
      <c r="M34" s="110">
        <f t="shared" si="9"/>
        <v>0</v>
      </c>
      <c r="N34" s="108"/>
      <c r="O34" s="86">
        <f t="shared" si="5"/>
        <v>0</v>
      </c>
      <c r="P34" s="107"/>
      <c r="Q34" s="94">
        <f t="shared" si="6"/>
        <v>0</v>
      </c>
      <c r="R34" s="109"/>
      <c r="S34" s="88">
        <f t="shared" si="7"/>
        <v>0</v>
      </c>
      <c r="T34" s="107"/>
      <c r="U34" s="94">
        <f t="shared" si="8"/>
        <v>0</v>
      </c>
    </row>
    <row r="35" spans="1:21" ht="15">
      <c r="A35" s="98"/>
      <c r="B35" s="99"/>
      <c r="C35" s="100"/>
      <c r="D35" s="100"/>
      <c r="E35" s="101"/>
      <c r="F35" s="102"/>
      <c r="G35" s="104"/>
      <c r="H35" s="104"/>
      <c r="I35" s="105"/>
      <c r="J35" s="105"/>
      <c r="K35" s="106"/>
      <c r="L35" s="107"/>
      <c r="M35" s="110"/>
      <c r="N35" s="108"/>
      <c r="O35" s="86"/>
      <c r="P35" s="107"/>
      <c r="Q35" s="94"/>
      <c r="R35" s="109"/>
      <c r="S35" s="88"/>
      <c r="T35" s="107"/>
      <c r="U35" s="94"/>
    </row>
    <row r="36" spans="1:21" ht="15">
      <c r="A36" s="89" t="s">
        <v>92</v>
      </c>
      <c r="B36" s="90">
        <v>30</v>
      </c>
      <c r="C36" s="91">
        <f>24*B36/100</f>
        <v>7.2</v>
      </c>
      <c r="D36" s="91">
        <f>28*B36/100</f>
        <v>8.4</v>
      </c>
      <c r="E36" s="112"/>
      <c r="F36" s="113"/>
      <c r="G36" s="79"/>
      <c r="H36" s="80">
        <f>17*B36/100</f>
        <v>5.1</v>
      </c>
      <c r="I36" s="81">
        <f>650*B36/100</f>
        <v>195</v>
      </c>
      <c r="J36" s="81">
        <f>0.4*B36/100</f>
        <v>0.12</v>
      </c>
      <c r="K36" s="82">
        <v>348</v>
      </c>
      <c r="L36" s="93"/>
      <c r="M36" s="94">
        <f>K36*L36/100</f>
        <v>0</v>
      </c>
      <c r="N36" s="85"/>
      <c r="O36" s="86">
        <f>N36*K36/100</f>
        <v>0</v>
      </c>
      <c r="P36" s="93"/>
      <c r="Q36" s="94">
        <f>P36*K36/100</f>
        <v>0</v>
      </c>
      <c r="R36" s="95"/>
      <c r="S36" s="88">
        <f>R36*$K$121/100</f>
        <v>0</v>
      </c>
      <c r="T36" s="93"/>
      <c r="U36" s="94">
        <f>T36*K36/100</f>
        <v>0</v>
      </c>
    </row>
    <row r="37" spans="1:21" ht="15">
      <c r="A37" s="114" t="s">
        <v>93</v>
      </c>
      <c r="B37" s="90"/>
      <c r="C37" s="91">
        <f>1.5*B37</f>
        <v>0</v>
      </c>
      <c r="D37" s="91">
        <f>5.2*B37</f>
        <v>0</v>
      </c>
      <c r="E37" s="92">
        <f>0.5*B37</f>
        <v>0</v>
      </c>
      <c r="F37" s="113"/>
      <c r="G37" s="79"/>
      <c r="H37" s="80"/>
      <c r="I37" s="81"/>
      <c r="J37" s="81"/>
      <c r="K37" s="82">
        <v>55</v>
      </c>
      <c r="L37" s="93"/>
      <c r="M37" s="94">
        <f aca="true" t="shared" si="10" ref="M37:M42">L37*K37</f>
        <v>0</v>
      </c>
      <c r="N37" s="85"/>
      <c r="O37" s="86">
        <f aca="true" t="shared" si="11" ref="O37:O44">N37*K37</f>
        <v>0</v>
      </c>
      <c r="P37" s="93"/>
      <c r="Q37" s="94">
        <f aca="true" t="shared" si="12" ref="Q37:Q44">P37*K37</f>
        <v>0</v>
      </c>
      <c r="R37" s="95"/>
      <c r="S37" s="88">
        <f aca="true" t="shared" si="13" ref="S37:S44">R37*K37</f>
        <v>0</v>
      </c>
      <c r="T37" s="93"/>
      <c r="U37" s="94">
        <f aca="true" t="shared" si="14" ref="U37:U44">T37*K37</f>
        <v>0</v>
      </c>
    </row>
    <row r="38" spans="1:21" ht="15">
      <c r="A38" s="114" t="s">
        <v>94</v>
      </c>
      <c r="B38" s="90"/>
      <c r="C38" s="91">
        <f>1.7*B38</f>
        <v>0</v>
      </c>
      <c r="D38" s="91">
        <f>B38*6.4</f>
        <v>0</v>
      </c>
      <c r="E38" s="92">
        <f>B38*0.4</f>
        <v>0</v>
      </c>
      <c r="F38" s="113"/>
      <c r="G38" s="79"/>
      <c r="H38" s="80">
        <f>4.4*B38</f>
        <v>0</v>
      </c>
      <c r="I38" s="81">
        <f>0.1*B38</f>
        <v>0</v>
      </c>
      <c r="J38" s="81"/>
      <c r="K38" s="82">
        <v>66</v>
      </c>
      <c r="L38" s="93"/>
      <c r="M38" s="94">
        <f t="shared" si="10"/>
        <v>0</v>
      </c>
      <c r="N38" s="85"/>
      <c r="O38" s="86">
        <f t="shared" si="11"/>
        <v>0</v>
      </c>
      <c r="P38" s="93"/>
      <c r="Q38" s="94">
        <f t="shared" si="12"/>
        <v>0</v>
      </c>
      <c r="R38" s="95"/>
      <c r="S38" s="88">
        <f t="shared" si="13"/>
        <v>0</v>
      </c>
      <c r="T38" s="93"/>
      <c r="U38" s="94">
        <f t="shared" si="14"/>
        <v>0</v>
      </c>
    </row>
    <row r="39" spans="1:21" ht="15">
      <c r="A39" s="114" t="s">
        <v>95</v>
      </c>
      <c r="B39" s="90"/>
      <c r="C39" s="91">
        <f>6.3*B39</f>
        <v>0</v>
      </c>
      <c r="D39" s="91">
        <f>8.1*B39</f>
        <v>0</v>
      </c>
      <c r="E39" s="92">
        <v>0</v>
      </c>
      <c r="F39" s="113"/>
      <c r="G39" s="79"/>
      <c r="H39" s="80">
        <f>5.4*B39</f>
        <v>0</v>
      </c>
      <c r="I39" s="81">
        <f>0.2*B39</f>
        <v>0</v>
      </c>
      <c r="J39" s="81"/>
      <c r="K39" s="82">
        <v>98</v>
      </c>
      <c r="L39" s="93"/>
      <c r="M39" s="94">
        <f t="shared" si="10"/>
        <v>0</v>
      </c>
      <c r="N39" s="85"/>
      <c r="O39" s="86">
        <f t="shared" si="11"/>
        <v>0</v>
      </c>
      <c r="P39" s="93"/>
      <c r="Q39" s="94">
        <f t="shared" si="12"/>
        <v>0</v>
      </c>
      <c r="R39" s="95"/>
      <c r="S39" s="88">
        <f t="shared" si="13"/>
        <v>0</v>
      </c>
      <c r="T39" s="93"/>
      <c r="U39" s="94">
        <f t="shared" si="14"/>
        <v>0</v>
      </c>
    </row>
    <row r="40" spans="1:21" ht="15">
      <c r="A40" s="114" t="s">
        <v>96</v>
      </c>
      <c r="B40" s="90"/>
      <c r="C40" s="91">
        <f>1.8*B40</f>
        <v>0</v>
      </c>
      <c r="D40" s="91">
        <f>3.3*B40</f>
        <v>0</v>
      </c>
      <c r="E40" s="92">
        <f>1.1*B40</f>
        <v>0</v>
      </c>
      <c r="F40" s="113"/>
      <c r="G40" s="79"/>
      <c r="H40" s="80">
        <f>2.2*B40</f>
        <v>0</v>
      </c>
      <c r="I40" s="81">
        <f>0.05*B40</f>
        <v>0</v>
      </c>
      <c r="J40" s="81"/>
      <c r="K40" s="82">
        <v>42</v>
      </c>
      <c r="L40" s="93"/>
      <c r="M40" s="94">
        <f t="shared" si="10"/>
        <v>0</v>
      </c>
      <c r="N40" s="85"/>
      <c r="O40" s="86">
        <f t="shared" si="11"/>
        <v>0</v>
      </c>
      <c r="P40" s="93"/>
      <c r="Q40" s="94">
        <f t="shared" si="12"/>
        <v>0</v>
      </c>
      <c r="R40" s="95"/>
      <c r="S40" s="88">
        <f t="shared" si="13"/>
        <v>0</v>
      </c>
      <c r="T40" s="93"/>
      <c r="U40" s="94">
        <f t="shared" si="14"/>
        <v>0</v>
      </c>
    </row>
    <row r="41" spans="1:21" ht="15">
      <c r="A41" s="114" t="s">
        <v>97</v>
      </c>
      <c r="B41" s="90"/>
      <c r="C41" s="91">
        <f>1.5*B41</f>
        <v>0</v>
      </c>
      <c r="D41" s="91">
        <f>3.4*B41</f>
        <v>0</v>
      </c>
      <c r="E41" s="92">
        <f>0.8*B41</f>
        <v>0</v>
      </c>
      <c r="F41" s="78">
        <f>0.6*B41</f>
        <v>0</v>
      </c>
      <c r="G41" s="79"/>
      <c r="H41" s="80">
        <f>2.3*B41</f>
        <v>0</v>
      </c>
      <c r="I41" s="81">
        <f>0.07*B41</f>
        <v>0</v>
      </c>
      <c r="J41" s="81">
        <v>0</v>
      </c>
      <c r="K41" s="82">
        <v>40</v>
      </c>
      <c r="L41" s="93"/>
      <c r="M41" s="94">
        <f t="shared" si="10"/>
        <v>0</v>
      </c>
      <c r="N41" s="85"/>
      <c r="O41" s="86">
        <f t="shared" si="11"/>
        <v>0</v>
      </c>
      <c r="P41" s="93"/>
      <c r="Q41" s="94">
        <f t="shared" si="12"/>
        <v>0</v>
      </c>
      <c r="R41" s="95"/>
      <c r="S41" s="88">
        <f t="shared" si="13"/>
        <v>0</v>
      </c>
      <c r="T41" s="93"/>
      <c r="U41" s="94">
        <f t="shared" si="14"/>
        <v>0</v>
      </c>
    </row>
    <row r="42" spans="1:21" ht="15">
      <c r="A42" s="114" t="s">
        <v>98</v>
      </c>
      <c r="B42" s="90"/>
      <c r="C42" s="91">
        <f>3*B42</f>
        <v>0</v>
      </c>
      <c r="D42" s="91">
        <f>4.4*B42</f>
        <v>0</v>
      </c>
      <c r="E42" s="92">
        <f>0.6*B42</f>
        <v>0</v>
      </c>
      <c r="F42" s="78"/>
      <c r="G42" s="79"/>
      <c r="H42" s="80"/>
      <c r="I42" s="81"/>
      <c r="J42" s="81"/>
      <c r="K42" s="82">
        <v>54</v>
      </c>
      <c r="L42" s="93"/>
      <c r="M42" s="94">
        <f t="shared" si="10"/>
        <v>0</v>
      </c>
      <c r="N42" s="85"/>
      <c r="O42" s="86">
        <f t="shared" si="11"/>
        <v>0</v>
      </c>
      <c r="P42" s="93"/>
      <c r="Q42" s="94">
        <f t="shared" si="12"/>
        <v>0</v>
      </c>
      <c r="R42" s="95"/>
      <c r="S42" s="88">
        <f t="shared" si="13"/>
        <v>0</v>
      </c>
      <c r="T42" s="93"/>
      <c r="U42" s="94">
        <f t="shared" si="14"/>
        <v>0</v>
      </c>
    </row>
    <row r="43" spans="1:21" ht="15">
      <c r="A43" s="114" t="s">
        <v>99</v>
      </c>
      <c r="B43" s="90"/>
      <c r="C43" s="91">
        <f>4.5*B43</f>
        <v>0</v>
      </c>
      <c r="D43" s="91">
        <f>0.2*B43</f>
        <v>0</v>
      </c>
      <c r="E43" s="92">
        <f>1*B43</f>
        <v>0</v>
      </c>
      <c r="F43" s="78">
        <f>2.4*B43/100</f>
        <v>0</v>
      </c>
      <c r="G43" s="79"/>
      <c r="H43" s="80"/>
      <c r="I43" s="81">
        <f>155*B43/100</f>
        <v>0</v>
      </c>
      <c r="J43" s="81">
        <v>0</v>
      </c>
      <c r="K43" s="82">
        <v>22</v>
      </c>
      <c r="L43" s="93"/>
      <c r="M43" s="94">
        <f>K43*L43</f>
        <v>0</v>
      </c>
      <c r="N43" s="85"/>
      <c r="O43" s="86">
        <f t="shared" si="11"/>
        <v>0</v>
      </c>
      <c r="P43" s="93"/>
      <c r="Q43" s="94">
        <f t="shared" si="12"/>
        <v>0</v>
      </c>
      <c r="R43" s="95"/>
      <c r="S43" s="88">
        <f t="shared" si="13"/>
        <v>0</v>
      </c>
      <c r="T43" s="93"/>
      <c r="U43" s="94">
        <f t="shared" si="14"/>
        <v>0</v>
      </c>
    </row>
    <row r="44" spans="1:21" ht="15">
      <c r="A44" s="114" t="s">
        <v>100</v>
      </c>
      <c r="B44" s="90"/>
      <c r="C44" s="91">
        <f>6.1*B44/100</f>
        <v>0</v>
      </c>
      <c r="D44" s="91">
        <f>13.5*B44/100</f>
        <v>0</v>
      </c>
      <c r="E44" s="92">
        <f>37*B44/100</f>
        <v>0</v>
      </c>
      <c r="F44" s="78">
        <f>36.5*B44</f>
        <v>0</v>
      </c>
      <c r="G44" s="79"/>
      <c r="H44" s="80">
        <f>8.4*B44/100</f>
        <v>0</v>
      </c>
      <c r="I44" s="81"/>
      <c r="J44" s="81"/>
      <c r="K44" s="82">
        <v>300</v>
      </c>
      <c r="L44" s="93"/>
      <c r="M44" s="94">
        <f>K44*L44</f>
        <v>0</v>
      </c>
      <c r="N44" s="85"/>
      <c r="O44" s="86">
        <f t="shared" si="11"/>
        <v>0</v>
      </c>
      <c r="P44" s="93"/>
      <c r="Q44" s="94">
        <f t="shared" si="12"/>
        <v>0</v>
      </c>
      <c r="R44" s="95"/>
      <c r="S44" s="88">
        <f t="shared" si="13"/>
        <v>0</v>
      </c>
      <c r="T44" s="93"/>
      <c r="U44" s="94">
        <f t="shared" si="14"/>
        <v>0</v>
      </c>
    </row>
    <row r="45" spans="1:21" ht="15">
      <c r="A45" s="114" t="s">
        <v>101</v>
      </c>
      <c r="B45" s="90"/>
      <c r="C45" s="91">
        <f>6*B45/100</f>
        <v>0</v>
      </c>
      <c r="D45" s="91">
        <f>27.5*B45/100</f>
        <v>0</v>
      </c>
      <c r="E45" s="92">
        <f>3.1*B45/100</f>
        <v>0</v>
      </c>
      <c r="F45" s="78">
        <f>3.1*B45/100</f>
        <v>0</v>
      </c>
      <c r="G45" s="79"/>
      <c r="H45" s="80">
        <f>7.6*B45/100</f>
        <v>0</v>
      </c>
      <c r="I45" s="81"/>
      <c r="J45" s="81"/>
      <c r="K45" s="82">
        <v>285</v>
      </c>
      <c r="L45" s="93"/>
      <c r="M45" s="94">
        <f>K45*L45/100</f>
        <v>0</v>
      </c>
      <c r="N45" s="85"/>
      <c r="O45" s="86">
        <f>N45*K45/100</f>
        <v>0</v>
      </c>
      <c r="P45" s="93"/>
      <c r="Q45" s="94">
        <f>P45*K45/100</f>
        <v>0</v>
      </c>
      <c r="R45" s="95"/>
      <c r="S45" s="88">
        <f>R45*K45/100</f>
        <v>0</v>
      </c>
      <c r="T45" s="93"/>
      <c r="U45" s="94">
        <f>T45*K45/100</f>
        <v>0</v>
      </c>
    </row>
    <row r="46" spans="1:21" ht="15">
      <c r="A46" s="114" t="s">
        <v>102</v>
      </c>
      <c r="B46" s="90"/>
      <c r="C46" s="91">
        <f>8.3*B46/100</f>
        <v>0</v>
      </c>
      <c r="D46" s="91">
        <f>12*C46/100</f>
        <v>0</v>
      </c>
      <c r="E46" s="92">
        <f>4.1*B46/100</f>
        <v>0</v>
      </c>
      <c r="F46" s="78">
        <f>4.1*B46/100</f>
        <v>0</v>
      </c>
      <c r="G46" s="79"/>
      <c r="H46" s="80"/>
      <c r="I46" s="81"/>
      <c r="J46" s="81"/>
      <c r="K46" s="82">
        <v>160</v>
      </c>
      <c r="L46" s="93"/>
      <c r="M46" s="94"/>
      <c r="N46" s="85"/>
      <c r="O46" s="86">
        <f>N46*K46/100</f>
        <v>0</v>
      </c>
      <c r="P46" s="93"/>
      <c r="Q46" s="94">
        <f>P46*K46/100</f>
        <v>0</v>
      </c>
      <c r="R46" s="95"/>
      <c r="S46" s="88">
        <f>R46*K46/100</f>
        <v>0</v>
      </c>
      <c r="T46" s="93"/>
      <c r="U46" s="94">
        <f>T46*K46/100</f>
        <v>0</v>
      </c>
    </row>
    <row r="47" spans="1:21" ht="15">
      <c r="A47" s="114" t="s">
        <v>103</v>
      </c>
      <c r="B47" s="90"/>
      <c r="C47" s="91">
        <f>7.3*B47/100</f>
        <v>0</v>
      </c>
      <c r="D47" s="91">
        <f>10.5*B47/100</f>
        <v>0</v>
      </c>
      <c r="E47" s="92">
        <f>5*B47/100</f>
        <v>0</v>
      </c>
      <c r="F47" s="78">
        <f>4.4*B47/100</f>
        <v>0</v>
      </c>
      <c r="G47" s="79"/>
      <c r="H47" s="80">
        <f>6.7*B47/100</f>
        <v>0</v>
      </c>
      <c r="I47" s="81"/>
      <c r="J47" s="81"/>
      <c r="K47" s="82">
        <v>146</v>
      </c>
      <c r="L47" s="93"/>
      <c r="M47" s="94"/>
      <c r="N47" s="85"/>
      <c r="O47" s="86"/>
      <c r="P47" s="93"/>
      <c r="Q47" s="94"/>
      <c r="R47" s="95"/>
      <c r="S47" s="88"/>
      <c r="T47" s="93"/>
      <c r="U47" s="94"/>
    </row>
    <row r="48" spans="1:21" ht="15">
      <c r="A48" s="114" t="s">
        <v>104</v>
      </c>
      <c r="B48" s="90"/>
      <c r="C48" s="91">
        <f>4.5*B48/100</f>
        <v>0</v>
      </c>
      <c r="D48" s="91">
        <f>8*B48/100</f>
        <v>0</v>
      </c>
      <c r="E48" s="92">
        <f>1.5*B48/100</f>
        <v>0</v>
      </c>
      <c r="F48" s="78"/>
      <c r="G48" s="79"/>
      <c r="H48" s="80"/>
      <c r="I48" s="81"/>
      <c r="J48" s="81"/>
      <c r="K48" s="82">
        <v>96</v>
      </c>
      <c r="L48" s="93"/>
      <c r="M48" s="94">
        <f>K48*L48/100</f>
        <v>0</v>
      </c>
      <c r="N48" s="85"/>
      <c r="O48" s="86">
        <f>N48*K48/100</f>
        <v>0</v>
      </c>
      <c r="P48" s="93"/>
      <c r="Q48" s="94">
        <f>P48*K48/100</f>
        <v>0</v>
      </c>
      <c r="R48" s="95"/>
      <c r="S48" s="88">
        <f>R48*K48/100</f>
        <v>0</v>
      </c>
      <c r="T48" s="93"/>
      <c r="U48" s="94">
        <f>T48*K48/100</f>
        <v>0</v>
      </c>
    </row>
    <row r="49" spans="1:21" ht="15">
      <c r="A49" s="114" t="s">
        <v>105</v>
      </c>
      <c r="B49" s="90"/>
      <c r="C49" s="91">
        <f>17*B49/100</f>
        <v>0</v>
      </c>
      <c r="D49" s="91">
        <f>21*B49/100</f>
        <v>0</v>
      </c>
      <c r="E49" s="92">
        <v>0</v>
      </c>
      <c r="F49" s="78"/>
      <c r="G49" s="79"/>
      <c r="H49" s="80"/>
      <c r="I49" s="81"/>
      <c r="J49" s="81"/>
      <c r="K49" s="82">
        <v>256</v>
      </c>
      <c r="L49" s="93"/>
      <c r="M49" s="94"/>
      <c r="N49" s="85"/>
      <c r="O49" s="86"/>
      <c r="P49" s="93"/>
      <c r="Q49" s="94"/>
      <c r="R49" s="95"/>
      <c r="S49" s="88"/>
      <c r="T49" s="93"/>
      <c r="U49" s="94"/>
    </row>
    <row r="50" spans="1:21" ht="15">
      <c r="A50" s="114" t="s">
        <v>106</v>
      </c>
      <c r="B50" s="90"/>
      <c r="C50" s="91">
        <f>11.3*B50/100</f>
        <v>0</v>
      </c>
      <c r="D50" s="91">
        <f>13*B50/100</f>
        <v>0</v>
      </c>
      <c r="E50" s="92">
        <f>3*B50/100</f>
        <v>0</v>
      </c>
      <c r="F50" s="78"/>
      <c r="G50" s="79"/>
      <c r="H50" s="80"/>
      <c r="I50" s="81">
        <f>207*B50/100</f>
        <v>0</v>
      </c>
      <c r="J50" s="81">
        <f>0.38*B50/100</f>
        <v>0</v>
      </c>
      <c r="K50" s="82">
        <v>174</v>
      </c>
      <c r="L50" s="93"/>
      <c r="M50" s="94">
        <f>K50*L50</f>
        <v>0</v>
      </c>
      <c r="N50" s="85"/>
      <c r="O50" s="86">
        <f>N50*K50/100</f>
        <v>0</v>
      </c>
      <c r="P50" s="93"/>
      <c r="Q50" s="94">
        <f>P50*K50/100</f>
        <v>0</v>
      </c>
      <c r="R50" s="95"/>
      <c r="S50" s="88">
        <f>R50*K50/100</f>
        <v>0</v>
      </c>
      <c r="T50" s="93"/>
      <c r="U50" s="94">
        <f>T50*K50/100</f>
        <v>0</v>
      </c>
    </row>
    <row r="51" spans="1:21" ht="15">
      <c r="A51" s="114" t="s">
        <v>107</v>
      </c>
      <c r="B51" s="90"/>
      <c r="C51" s="91">
        <f>18*B51/100</f>
        <v>0</v>
      </c>
      <c r="D51" s="91">
        <f>19*B51/100</f>
        <v>0</v>
      </c>
      <c r="E51" s="92">
        <f>1*B51/100</f>
        <v>0</v>
      </c>
      <c r="F51" s="78"/>
      <c r="G51" s="79"/>
      <c r="H51" s="80"/>
      <c r="I51" s="81"/>
      <c r="J51" s="81"/>
      <c r="K51" s="82">
        <v>246.6</v>
      </c>
      <c r="L51" s="93"/>
      <c r="M51" s="94"/>
      <c r="N51" s="85"/>
      <c r="O51" s="86"/>
      <c r="P51" s="93"/>
      <c r="Q51" s="94"/>
      <c r="R51" s="95"/>
      <c r="S51" s="88"/>
      <c r="T51" s="93"/>
      <c r="U51" s="94"/>
    </row>
    <row r="52" spans="1:21" ht="15">
      <c r="A52" s="115" t="s">
        <v>108</v>
      </c>
      <c r="B52" s="116">
        <v>60</v>
      </c>
      <c r="C52" s="117">
        <f>9*B52/100</f>
        <v>5.4</v>
      </c>
      <c r="D52" s="117">
        <f>0.3*B52/100</f>
        <v>0.18</v>
      </c>
      <c r="E52" s="118">
        <f>55*B52/100</f>
        <v>33</v>
      </c>
      <c r="F52" s="119">
        <f>1.9*B52/100</f>
        <v>1.14</v>
      </c>
      <c r="G52" s="120">
        <f>52.9*B52/100</f>
        <v>31.74</v>
      </c>
      <c r="H52" s="121"/>
      <c r="I52" s="122">
        <f>26*B52/100</f>
        <v>15.6</v>
      </c>
      <c r="J52" s="122">
        <f>1.1*B52/100</f>
        <v>0.66</v>
      </c>
      <c r="K52" s="82">
        <v>258.7</v>
      </c>
      <c r="L52" s="93"/>
      <c r="M52" s="94">
        <f>L52*K52/100</f>
        <v>0</v>
      </c>
      <c r="N52" s="85"/>
      <c r="O52" s="88">
        <f aca="true" t="shared" si="15" ref="O52:O59">N52*K52/100</f>
        <v>0</v>
      </c>
      <c r="P52" s="93"/>
      <c r="Q52" s="94">
        <f aca="true" t="shared" si="16" ref="Q52:Q59">P52*K52/100</f>
        <v>0</v>
      </c>
      <c r="R52" s="95"/>
      <c r="S52" s="88">
        <f aca="true" t="shared" si="17" ref="S52:S59">R52*K52/100</f>
        <v>0</v>
      </c>
      <c r="T52" s="93"/>
      <c r="U52" s="94">
        <f aca="true" t="shared" si="18" ref="U52:U59">T52*K52/100</f>
        <v>0</v>
      </c>
    </row>
    <row r="53" spans="1:21" ht="15">
      <c r="A53" s="123" t="s">
        <v>109</v>
      </c>
      <c r="B53" s="116"/>
      <c r="C53" s="117">
        <f>9.1*B53/100</f>
        <v>0</v>
      </c>
      <c r="D53" s="117">
        <f>0.9*B53/100</f>
        <v>0</v>
      </c>
      <c r="E53" s="118">
        <f>74.1*B53/100</f>
        <v>0</v>
      </c>
      <c r="F53" s="119">
        <f>3.7*B53/100</f>
        <v>0</v>
      </c>
      <c r="G53" s="120"/>
      <c r="H53" s="121"/>
      <c r="I53" s="122"/>
      <c r="J53" s="122"/>
      <c r="K53" s="82">
        <v>341</v>
      </c>
      <c r="L53" s="93"/>
      <c r="M53" s="94"/>
      <c r="N53" s="85"/>
      <c r="O53" s="86">
        <f t="shared" si="15"/>
        <v>0</v>
      </c>
      <c r="P53" s="93"/>
      <c r="Q53" s="94">
        <f t="shared" si="16"/>
        <v>0</v>
      </c>
      <c r="R53" s="95"/>
      <c r="S53" s="88">
        <f t="shared" si="17"/>
        <v>0</v>
      </c>
      <c r="T53" s="93"/>
      <c r="U53" s="94">
        <f t="shared" si="18"/>
        <v>0</v>
      </c>
    </row>
    <row r="54" spans="1:21" ht="15">
      <c r="A54" s="124" t="s">
        <v>110</v>
      </c>
      <c r="B54" s="125">
        <v>50</v>
      </c>
      <c r="C54" s="117">
        <f>7.3*B54/100</f>
        <v>3.65</v>
      </c>
      <c r="D54" s="117">
        <f>11*B54/100</f>
        <v>5.5</v>
      </c>
      <c r="E54" s="118">
        <f>73*B54/100</f>
        <v>36.5</v>
      </c>
      <c r="F54" s="78">
        <f>31.5*B54/100</f>
        <v>15.75</v>
      </c>
      <c r="G54" s="80">
        <f>40*B54/100</f>
        <v>20</v>
      </c>
      <c r="H54" s="80">
        <f>4.6*B54/100</f>
        <v>2.3</v>
      </c>
      <c r="I54" s="81">
        <f>293*B54/100</f>
        <v>146.5</v>
      </c>
      <c r="J54" s="81">
        <f>8*B54/100</f>
        <v>4</v>
      </c>
      <c r="K54" s="82">
        <v>398</v>
      </c>
      <c r="L54" s="93"/>
      <c r="M54" s="94">
        <f aca="true" t="shared" si="19" ref="M54:M59">K54*L54/100</f>
        <v>0</v>
      </c>
      <c r="N54" s="85"/>
      <c r="O54" s="86">
        <f t="shared" si="15"/>
        <v>0</v>
      </c>
      <c r="P54" s="93"/>
      <c r="Q54" s="94">
        <f t="shared" si="16"/>
        <v>0</v>
      </c>
      <c r="R54" s="95"/>
      <c r="S54" s="88">
        <f t="shared" si="17"/>
        <v>0</v>
      </c>
      <c r="T54" s="93"/>
      <c r="U54" s="94">
        <f t="shared" si="18"/>
        <v>0</v>
      </c>
    </row>
    <row r="55" spans="1:21" ht="15">
      <c r="A55" s="126" t="s">
        <v>111</v>
      </c>
      <c r="B55" s="125"/>
      <c r="C55" s="117">
        <f>7*B55/100</f>
        <v>0</v>
      </c>
      <c r="D55" s="117">
        <f>0.9*B55/100</f>
        <v>0</v>
      </c>
      <c r="E55" s="118">
        <f>83*B55/100</f>
        <v>0</v>
      </c>
      <c r="F55" s="78">
        <f>8*B55/100</f>
        <v>0</v>
      </c>
      <c r="G55" s="80">
        <f>46*B55/100</f>
        <v>0</v>
      </c>
      <c r="H55" s="80">
        <f>0.2*B55/100</f>
        <v>0</v>
      </c>
      <c r="I55" s="79"/>
      <c r="J55" s="81">
        <f>8*B55/100</f>
        <v>0</v>
      </c>
      <c r="K55" s="82">
        <v>372</v>
      </c>
      <c r="L55" s="93"/>
      <c r="M55" s="94">
        <f t="shared" si="19"/>
        <v>0</v>
      </c>
      <c r="N55" s="85"/>
      <c r="O55" s="86">
        <f t="shared" si="15"/>
        <v>0</v>
      </c>
      <c r="P55" s="93"/>
      <c r="Q55" s="94">
        <f t="shared" si="16"/>
        <v>0</v>
      </c>
      <c r="R55" s="95"/>
      <c r="S55" s="88">
        <f t="shared" si="17"/>
        <v>0</v>
      </c>
      <c r="T55" s="93"/>
      <c r="U55" s="94">
        <f t="shared" si="18"/>
        <v>0</v>
      </c>
    </row>
    <row r="56" spans="1:21" ht="15">
      <c r="A56" s="126" t="s">
        <v>112</v>
      </c>
      <c r="B56" s="125"/>
      <c r="C56" s="117">
        <f>7.9*B56/100</f>
        <v>0</v>
      </c>
      <c r="D56" s="117">
        <f>6.3*B56/100</f>
        <v>0</v>
      </c>
      <c r="E56" s="118">
        <f>74.8*B56/100</f>
        <v>0</v>
      </c>
      <c r="F56" s="78">
        <f>23.7*B56/100</f>
        <v>0</v>
      </c>
      <c r="G56" s="80">
        <f>20*B56/100</f>
        <v>0</v>
      </c>
      <c r="H56" s="80">
        <f>3.6*B56/100</f>
        <v>0</v>
      </c>
      <c r="I56" s="81">
        <f>442*B56/100</f>
        <v>0</v>
      </c>
      <c r="J56" s="81">
        <f>11.6*B56/100</f>
        <v>0</v>
      </c>
      <c r="K56" s="82">
        <v>398</v>
      </c>
      <c r="L56" s="93"/>
      <c r="M56" s="94">
        <f t="shared" si="19"/>
        <v>0</v>
      </c>
      <c r="N56" s="85"/>
      <c r="O56" s="86">
        <f t="shared" si="15"/>
        <v>0</v>
      </c>
      <c r="P56" s="93"/>
      <c r="Q56" s="94">
        <f t="shared" si="16"/>
        <v>0</v>
      </c>
      <c r="R56" s="95"/>
      <c r="S56" s="88">
        <f t="shared" si="17"/>
        <v>0</v>
      </c>
      <c r="T56" s="93"/>
      <c r="U56" s="94">
        <f t="shared" si="18"/>
        <v>0</v>
      </c>
    </row>
    <row r="57" spans="1:21" ht="15">
      <c r="A57" s="126" t="s">
        <v>113</v>
      </c>
      <c r="B57" s="125"/>
      <c r="C57" s="117">
        <f>13*B57/100</f>
        <v>0</v>
      </c>
      <c r="D57" s="117">
        <f>6.7*B57/100</f>
        <v>0</v>
      </c>
      <c r="E57" s="118">
        <f>71.6*B57/100</f>
        <v>0</v>
      </c>
      <c r="F57" s="78">
        <f>27.6*B57/100</f>
        <v>0</v>
      </c>
      <c r="G57" s="80">
        <f>44*B57/100</f>
        <v>0</v>
      </c>
      <c r="H57" s="80">
        <f>3.8*B57/100</f>
        <v>0</v>
      </c>
      <c r="I57" s="81"/>
      <c r="J57" s="81"/>
      <c r="K57" s="82">
        <v>396</v>
      </c>
      <c r="L57" s="93"/>
      <c r="M57" s="94">
        <f t="shared" si="19"/>
        <v>0</v>
      </c>
      <c r="N57" s="85"/>
      <c r="O57" s="86">
        <f t="shared" si="15"/>
        <v>0</v>
      </c>
      <c r="P57" s="93"/>
      <c r="Q57" s="94">
        <f t="shared" si="16"/>
        <v>0</v>
      </c>
      <c r="R57" s="95"/>
      <c r="S57" s="88">
        <f t="shared" si="17"/>
        <v>0</v>
      </c>
      <c r="T57" s="93"/>
      <c r="U57" s="94">
        <f t="shared" si="18"/>
        <v>0</v>
      </c>
    </row>
    <row r="58" spans="1:21" ht="15">
      <c r="A58" s="126" t="s">
        <v>114</v>
      </c>
      <c r="B58" s="125"/>
      <c r="C58" s="117">
        <f>7.3*B58/100</f>
        <v>0</v>
      </c>
      <c r="D58" s="117">
        <f>18*B58/100</f>
        <v>0</v>
      </c>
      <c r="E58" s="118">
        <f>66.1*B58/100</f>
        <v>0</v>
      </c>
      <c r="F58" s="78">
        <f>26.8*B58/100</f>
        <v>0</v>
      </c>
      <c r="G58" s="80">
        <f>39.3*B58/100</f>
        <v>0</v>
      </c>
      <c r="H58" s="80">
        <f>7*B58/100</f>
        <v>0</v>
      </c>
      <c r="I58" s="79"/>
      <c r="J58" s="79"/>
      <c r="K58" s="82">
        <v>468</v>
      </c>
      <c r="L58" s="93"/>
      <c r="M58" s="94">
        <f t="shared" si="19"/>
        <v>0</v>
      </c>
      <c r="N58" s="85"/>
      <c r="O58" s="88">
        <f t="shared" si="15"/>
        <v>0</v>
      </c>
      <c r="P58" s="93"/>
      <c r="Q58" s="94">
        <f t="shared" si="16"/>
        <v>0</v>
      </c>
      <c r="R58" s="95"/>
      <c r="S58" s="88">
        <f t="shared" si="17"/>
        <v>0</v>
      </c>
      <c r="T58" s="93"/>
      <c r="U58" s="94">
        <f t="shared" si="18"/>
        <v>0</v>
      </c>
    </row>
    <row r="59" spans="1:21" ht="15">
      <c r="A59" s="124" t="s">
        <v>115</v>
      </c>
      <c r="B59" s="125"/>
      <c r="C59" s="117">
        <f>10*B59/100</f>
        <v>0</v>
      </c>
      <c r="D59" s="117">
        <f>5*B59/100</f>
        <v>0</v>
      </c>
      <c r="E59" s="118">
        <f>73.6*B59/100</f>
        <v>0</v>
      </c>
      <c r="F59" s="78">
        <f>5*B59/100</f>
        <v>0</v>
      </c>
      <c r="G59" s="80">
        <f>70.6*B59/100</f>
        <v>0</v>
      </c>
      <c r="H59" s="80">
        <f>1.5*B59/100</f>
        <v>0</v>
      </c>
      <c r="I59" s="81">
        <f>42*B59/100</f>
        <v>0</v>
      </c>
      <c r="J59" s="81">
        <f>1.3*B59/100</f>
        <v>0</v>
      </c>
      <c r="K59" s="82">
        <v>379.4</v>
      </c>
      <c r="L59" s="93"/>
      <c r="M59" s="94">
        <f t="shared" si="19"/>
        <v>0</v>
      </c>
      <c r="N59" s="85"/>
      <c r="O59" s="88">
        <f t="shared" si="15"/>
        <v>0</v>
      </c>
      <c r="P59" s="93"/>
      <c r="Q59" s="94">
        <f t="shared" si="16"/>
        <v>0</v>
      </c>
      <c r="R59" s="95"/>
      <c r="S59" s="88">
        <f t="shared" si="17"/>
        <v>0</v>
      </c>
      <c r="T59" s="93"/>
      <c r="U59" s="94">
        <f t="shared" si="18"/>
        <v>0</v>
      </c>
    </row>
    <row r="60" spans="1:21" ht="15">
      <c r="A60" s="126" t="s">
        <v>116</v>
      </c>
      <c r="B60" s="125"/>
      <c r="C60" s="117">
        <f>2.08*B60</f>
        <v>0</v>
      </c>
      <c r="D60" s="117">
        <f>1.66*B60</f>
        <v>0</v>
      </c>
      <c r="E60" s="118">
        <f>14.5*B60</f>
        <v>0</v>
      </c>
      <c r="F60" s="78"/>
      <c r="G60" s="80"/>
      <c r="H60" s="80"/>
      <c r="I60" s="81"/>
      <c r="J60" s="81"/>
      <c r="K60" s="82">
        <v>81.5</v>
      </c>
      <c r="L60" s="93"/>
      <c r="M60" s="94">
        <f>K60*L60</f>
        <v>0</v>
      </c>
      <c r="N60" s="85"/>
      <c r="O60" s="88">
        <f>N60*K60</f>
        <v>0</v>
      </c>
      <c r="P60" s="93"/>
      <c r="Q60" s="94">
        <f>P60*K60</f>
        <v>0</v>
      </c>
      <c r="R60" s="95"/>
      <c r="S60" s="88">
        <f>R60*K60</f>
        <v>0</v>
      </c>
      <c r="T60" s="93"/>
      <c r="U60" s="94">
        <f>T60*K60</f>
        <v>0</v>
      </c>
    </row>
    <row r="61" spans="1:21" ht="15">
      <c r="A61" s="126" t="s">
        <v>117</v>
      </c>
      <c r="B61" s="125"/>
      <c r="C61" s="117">
        <f>11*B61/100</f>
        <v>0</v>
      </c>
      <c r="D61" s="117">
        <f>3.2*B61/100</f>
        <v>0</v>
      </c>
      <c r="E61" s="118">
        <f>76*B61/100</f>
        <v>0</v>
      </c>
      <c r="F61" s="78"/>
      <c r="G61" s="80"/>
      <c r="H61" s="80"/>
      <c r="I61" s="81"/>
      <c r="J61" s="81"/>
      <c r="K61" s="82">
        <v>385</v>
      </c>
      <c r="L61" s="93"/>
      <c r="M61" s="94">
        <f>K61*L61/100</f>
        <v>0</v>
      </c>
      <c r="N61" s="85"/>
      <c r="O61" s="88">
        <f>N61*K61/100</f>
        <v>0</v>
      </c>
      <c r="P61" s="93"/>
      <c r="Q61" s="94">
        <f>P61*K61/100</f>
        <v>0</v>
      </c>
      <c r="R61" s="95"/>
      <c r="S61" s="88">
        <f>R61*K61/100</f>
        <v>0</v>
      </c>
      <c r="T61" s="93"/>
      <c r="U61" s="94">
        <f>T61*K61/100</f>
        <v>0</v>
      </c>
    </row>
    <row r="62" spans="1:21" ht="15">
      <c r="A62" s="126" t="s">
        <v>118</v>
      </c>
      <c r="B62" s="125"/>
      <c r="C62" s="117">
        <f>12*B62/100</f>
        <v>0</v>
      </c>
      <c r="D62" s="117">
        <f>2.7*B62/100</f>
        <v>0</v>
      </c>
      <c r="E62" s="118">
        <f>75*B62/100</f>
        <v>0</v>
      </c>
      <c r="F62" s="78"/>
      <c r="G62" s="80"/>
      <c r="H62" s="80"/>
      <c r="I62" s="81"/>
      <c r="J62" s="81"/>
      <c r="K62" s="82">
        <v>380</v>
      </c>
      <c r="L62" s="93"/>
      <c r="M62" s="94">
        <f>K62*L62/100</f>
        <v>0</v>
      </c>
      <c r="N62" s="85"/>
      <c r="O62" s="88">
        <f>N62*K62/100</f>
        <v>0</v>
      </c>
      <c r="P62" s="93"/>
      <c r="Q62" s="94">
        <f>P62*K62/100</f>
        <v>0</v>
      </c>
      <c r="R62" s="95"/>
      <c r="S62" s="88">
        <f>R62*K62/100</f>
        <v>0</v>
      </c>
      <c r="T62" s="93"/>
      <c r="U62" s="94">
        <f>T62*K62/100</f>
        <v>0</v>
      </c>
    </row>
    <row r="63" spans="1:21" ht="15">
      <c r="A63" s="126" t="s">
        <v>119</v>
      </c>
      <c r="B63" s="125"/>
      <c r="C63" s="117">
        <f>12*B63/100</f>
        <v>0</v>
      </c>
      <c r="D63" s="117">
        <f>3.5*B63/100</f>
        <v>0</v>
      </c>
      <c r="E63" s="118">
        <f>75*B63/100</f>
        <v>0</v>
      </c>
      <c r="F63" s="78"/>
      <c r="G63" s="80"/>
      <c r="H63" s="80"/>
      <c r="I63" s="81"/>
      <c r="J63" s="81"/>
      <c r="K63" s="82">
        <v>385</v>
      </c>
      <c r="L63" s="93"/>
      <c r="M63" s="94">
        <f>K63*L63/100</f>
        <v>0</v>
      </c>
      <c r="N63" s="85"/>
      <c r="O63" s="88">
        <f>N63*K63/100</f>
        <v>0</v>
      </c>
      <c r="P63" s="93"/>
      <c r="Q63" s="94">
        <f>P63*K63/100</f>
        <v>0</v>
      </c>
      <c r="R63" s="95"/>
      <c r="S63" s="88">
        <f>R63*K63/100</f>
        <v>0</v>
      </c>
      <c r="T63" s="93"/>
      <c r="U63" s="94">
        <f>T63*K63/100</f>
        <v>0</v>
      </c>
    </row>
    <row r="64" spans="1:21" ht="15">
      <c r="A64" s="126" t="s">
        <v>120</v>
      </c>
      <c r="B64" s="125"/>
      <c r="C64" s="117">
        <f>1.32*B64</f>
        <v>0</v>
      </c>
      <c r="D64" s="117">
        <f>2.49*B64</f>
        <v>0</v>
      </c>
      <c r="E64" s="118">
        <f>11.9*B64</f>
        <v>0</v>
      </c>
      <c r="F64" s="78"/>
      <c r="G64" s="80"/>
      <c r="H64" s="80"/>
      <c r="I64" s="81"/>
      <c r="J64" s="81"/>
      <c r="K64" s="82">
        <v>76.3</v>
      </c>
      <c r="L64" s="93"/>
      <c r="M64" s="94">
        <f>K64*L64</f>
        <v>0</v>
      </c>
      <c r="N64" s="85"/>
      <c r="O64" s="88">
        <f>N64*K64</f>
        <v>0</v>
      </c>
      <c r="P64" s="93"/>
      <c r="Q64" s="94">
        <f>P64*K64</f>
        <v>0</v>
      </c>
      <c r="R64" s="95"/>
      <c r="S64" s="88">
        <f>R64*K64</f>
        <v>0</v>
      </c>
      <c r="T64" s="93"/>
      <c r="U64" s="94">
        <f>T64*K64</f>
        <v>0</v>
      </c>
    </row>
    <row r="65" spans="1:21" ht="15">
      <c r="A65" s="126" t="s">
        <v>121</v>
      </c>
      <c r="B65" s="125"/>
      <c r="C65" s="117">
        <f>1*B65</f>
        <v>0</v>
      </c>
      <c r="D65" s="117">
        <f>1.32*B65</f>
        <v>0</v>
      </c>
      <c r="E65" s="118">
        <f>12.6*B65</f>
        <v>0</v>
      </c>
      <c r="F65" s="78"/>
      <c r="G65" s="80"/>
      <c r="H65" s="80"/>
      <c r="I65" s="81"/>
      <c r="J65" s="81"/>
      <c r="K65" s="82">
        <v>67.5</v>
      </c>
      <c r="L65" s="93"/>
      <c r="M65" s="94">
        <f>K65*L65</f>
        <v>0</v>
      </c>
      <c r="N65" s="85"/>
      <c r="O65" s="88">
        <f>N65*K65</f>
        <v>0</v>
      </c>
      <c r="P65" s="93"/>
      <c r="Q65" s="94">
        <f>P65*K65</f>
        <v>0</v>
      </c>
      <c r="R65" s="95"/>
      <c r="S65" s="88">
        <f>R65*K65</f>
        <v>0</v>
      </c>
      <c r="T65" s="93"/>
      <c r="U65" s="94">
        <f>T65*K65</f>
        <v>0</v>
      </c>
    </row>
    <row r="66" spans="1:21" ht="15">
      <c r="A66" s="127" t="s">
        <v>122</v>
      </c>
      <c r="B66" s="125"/>
      <c r="C66" s="117">
        <f>1.3*B66</f>
        <v>0</v>
      </c>
      <c r="D66" s="117">
        <f>1.3*B66</f>
        <v>0</v>
      </c>
      <c r="E66" s="118">
        <f>9.2*B66</f>
        <v>0</v>
      </c>
      <c r="F66" s="78"/>
      <c r="G66" s="80"/>
      <c r="H66" s="80"/>
      <c r="I66" s="81"/>
      <c r="J66" s="81"/>
      <c r="K66" s="82">
        <v>56</v>
      </c>
      <c r="L66" s="93"/>
      <c r="M66" s="94">
        <f>K66*L66</f>
        <v>0</v>
      </c>
      <c r="N66" s="85"/>
      <c r="O66" s="88">
        <f>N66*K66</f>
        <v>0</v>
      </c>
      <c r="P66" s="93"/>
      <c r="Q66" s="94">
        <f>P66*K66</f>
        <v>0</v>
      </c>
      <c r="R66" s="95"/>
      <c r="S66" s="88">
        <f>R66*K66</f>
        <v>0</v>
      </c>
      <c r="T66" s="93"/>
      <c r="U66" s="94">
        <f>T66*K66</f>
        <v>0</v>
      </c>
    </row>
    <row r="67" spans="1:21" ht="15">
      <c r="A67" s="127" t="s">
        <v>123</v>
      </c>
      <c r="B67" s="125"/>
      <c r="C67" s="117">
        <f>12*B67/100</f>
        <v>0</v>
      </c>
      <c r="D67" s="117">
        <f>7*B67/100</f>
        <v>0</v>
      </c>
      <c r="E67" s="118">
        <f>65*B67/100</f>
        <v>0</v>
      </c>
      <c r="F67" s="78"/>
      <c r="G67" s="80"/>
      <c r="H67" s="80"/>
      <c r="I67" s="81"/>
      <c r="J67" s="81"/>
      <c r="K67" s="82">
        <v>370</v>
      </c>
      <c r="L67" s="93"/>
      <c r="M67" s="94">
        <f>K67*L67/100</f>
        <v>0</v>
      </c>
      <c r="N67" s="85"/>
      <c r="O67" s="88">
        <f>N67*K67/100</f>
        <v>0</v>
      </c>
      <c r="P67" s="93"/>
      <c r="Q67" s="94">
        <f>P67*K67/100</f>
        <v>0</v>
      </c>
      <c r="R67" s="95"/>
      <c r="S67" s="88">
        <f>R67*K67/100</f>
        <v>0</v>
      </c>
      <c r="T67" s="93"/>
      <c r="U67" s="94">
        <f>T67*K67/100</f>
        <v>0</v>
      </c>
    </row>
    <row r="68" spans="1:21" ht="15">
      <c r="A68" s="127" t="s">
        <v>124</v>
      </c>
      <c r="B68" s="125"/>
      <c r="C68" s="117">
        <f>11*B68/100</f>
        <v>0</v>
      </c>
      <c r="D68" s="117">
        <f>8.5*B68/100</f>
        <v>0</v>
      </c>
      <c r="E68" s="118">
        <f>69*B68/100</f>
        <v>0</v>
      </c>
      <c r="F68" s="78"/>
      <c r="G68" s="80"/>
      <c r="H68" s="80"/>
      <c r="I68" s="81"/>
      <c r="J68" s="81"/>
      <c r="K68" s="82">
        <v>400</v>
      </c>
      <c r="L68" s="93"/>
      <c r="M68" s="94">
        <f>K68*L68/100</f>
        <v>0</v>
      </c>
      <c r="N68" s="85"/>
      <c r="O68" s="88">
        <f>N68*K68/100</f>
        <v>0</v>
      </c>
      <c r="P68" s="93"/>
      <c r="Q68" s="94">
        <f>P68*K68/100</f>
        <v>0</v>
      </c>
      <c r="R68" s="95"/>
      <c r="S68" s="88">
        <f>R68*K68/100</f>
        <v>0</v>
      </c>
      <c r="T68" s="93"/>
      <c r="U68" s="94">
        <f>T68*K68/100</f>
        <v>0</v>
      </c>
    </row>
    <row r="69" spans="1:21" ht="15">
      <c r="A69" s="128" t="s">
        <v>125</v>
      </c>
      <c r="B69" s="125"/>
      <c r="C69" s="117">
        <f>8*B69/100</f>
        <v>0</v>
      </c>
      <c r="D69" s="117">
        <f>4*B69/100</f>
        <v>0</v>
      </c>
      <c r="E69" s="118">
        <f>49.8*B69/100</f>
        <v>0</v>
      </c>
      <c r="F69" s="78">
        <f>3.5*B69/100</f>
        <v>0</v>
      </c>
      <c r="G69" s="80">
        <f>48.3*B69/100</f>
        <v>0</v>
      </c>
      <c r="H69" s="80">
        <f>1*B69/100</f>
        <v>0</v>
      </c>
      <c r="I69" s="81">
        <f>91*B69/100</f>
        <v>0</v>
      </c>
      <c r="J69" s="81">
        <f>11.2*B69/100</f>
        <v>0</v>
      </c>
      <c r="K69" s="82">
        <v>279</v>
      </c>
      <c r="L69" s="93"/>
      <c r="M69" s="94">
        <f>K69*L69/100</f>
        <v>0</v>
      </c>
      <c r="N69" s="85"/>
      <c r="O69" s="88">
        <f>N69*K69/100</f>
        <v>0</v>
      </c>
      <c r="P69" s="93"/>
      <c r="Q69" s="94">
        <f>P69*K69/100</f>
        <v>0</v>
      </c>
      <c r="R69" s="95"/>
      <c r="S69" s="88">
        <f>R69*K69/100</f>
        <v>0</v>
      </c>
      <c r="T69" s="93"/>
      <c r="U69" s="94">
        <f>T69*K69/100</f>
        <v>0</v>
      </c>
    </row>
    <row r="70" spans="1:21" ht="15">
      <c r="A70" s="126" t="s">
        <v>126</v>
      </c>
      <c r="B70" s="125"/>
      <c r="C70" s="117">
        <f>3.4*B70</f>
        <v>0</v>
      </c>
      <c r="D70" s="117">
        <f>1.6*B70</f>
        <v>0</v>
      </c>
      <c r="E70" s="118">
        <f>19.2*B70</f>
        <v>0</v>
      </c>
      <c r="F70" s="78">
        <f>4.4*B70</f>
        <v>0</v>
      </c>
      <c r="G70" s="80">
        <f>14.8*B70</f>
        <v>0</v>
      </c>
      <c r="H70" s="80">
        <f>0.7*B70</f>
        <v>0</v>
      </c>
      <c r="I70" s="79"/>
      <c r="J70" s="79"/>
      <c r="K70" s="82">
        <v>105</v>
      </c>
      <c r="L70" s="93"/>
      <c r="M70" s="94">
        <f>K70*L70</f>
        <v>0</v>
      </c>
      <c r="N70" s="85"/>
      <c r="O70" s="88">
        <f>N70*K70</f>
        <v>0</v>
      </c>
      <c r="P70" s="93"/>
      <c r="Q70" s="94">
        <f>P70*K70</f>
        <v>0</v>
      </c>
      <c r="R70" s="95"/>
      <c r="S70" s="88">
        <f>R70*K70</f>
        <v>0</v>
      </c>
      <c r="T70" s="93"/>
      <c r="U70" s="94">
        <f>T70*K70</f>
        <v>0</v>
      </c>
    </row>
    <row r="71" spans="1:21" ht="15">
      <c r="A71" s="129" t="s">
        <v>127</v>
      </c>
      <c r="B71" s="130"/>
      <c r="C71" s="131"/>
      <c r="D71" s="131"/>
      <c r="E71" s="132"/>
      <c r="F71" s="113"/>
      <c r="G71" s="79"/>
      <c r="H71" s="79"/>
      <c r="I71" s="79"/>
      <c r="J71" s="79"/>
      <c r="K71" s="133"/>
      <c r="L71" s="134"/>
      <c r="M71" s="135"/>
      <c r="N71" s="136"/>
      <c r="O71" s="137"/>
      <c r="P71" s="134"/>
      <c r="Q71" s="135"/>
      <c r="R71" s="138"/>
      <c r="S71" s="137"/>
      <c r="T71" s="134"/>
      <c r="U71" s="135"/>
    </row>
    <row r="72" spans="1:21" ht="15">
      <c r="A72" s="126" t="s">
        <v>128</v>
      </c>
      <c r="B72" s="125"/>
      <c r="C72" s="117">
        <f>7.3*B72/100</f>
        <v>0</v>
      </c>
      <c r="D72" s="117">
        <f>18.5*B72/100</f>
        <v>0</v>
      </c>
      <c r="E72" s="118">
        <f>55.3*B72/100</f>
        <v>0</v>
      </c>
      <c r="F72" s="78">
        <f>24.2*B72/100</f>
        <v>0</v>
      </c>
      <c r="G72" s="80">
        <f>43.2*B72/100</f>
        <v>0</v>
      </c>
      <c r="H72" s="80">
        <f>9.6*B72/100</f>
        <v>0</v>
      </c>
      <c r="I72" s="81">
        <f>43*B72/100</f>
        <v>0</v>
      </c>
      <c r="J72" s="81">
        <f>1.4*B72/100</f>
        <v>0</v>
      </c>
      <c r="K72" s="82">
        <v>417</v>
      </c>
      <c r="L72" s="93"/>
      <c r="M72" s="94">
        <f>K72*L72/100</f>
        <v>0</v>
      </c>
      <c r="N72" s="85"/>
      <c r="O72" s="88">
        <f>N72*K72/100</f>
        <v>0</v>
      </c>
      <c r="P72" s="93"/>
      <c r="Q72" s="94">
        <f>P72*K72/100</f>
        <v>0</v>
      </c>
      <c r="R72" s="95"/>
      <c r="S72" s="88">
        <f>R72*K72/100</f>
        <v>0</v>
      </c>
      <c r="T72" s="93"/>
      <c r="U72" s="94">
        <f>T72*K72/100</f>
        <v>0</v>
      </c>
    </row>
    <row r="73" spans="1:21" ht="15">
      <c r="A73" s="126" t="s">
        <v>129</v>
      </c>
      <c r="B73" s="125"/>
      <c r="C73" s="117">
        <f>3.5*B73</f>
        <v>0</v>
      </c>
      <c r="D73" s="117">
        <f>13*B73</f>
        <v>0</v>
      </c>
      <c r="E73" s="118">
        <f>24*B73</f>
        <v>0</v>
      </c>
      <c r="F73" s="78"/>
      <c r="G73" s="80"/>
      <c r="H73" s="80"/>
      <c r="I73" s="81"/>
      <c r="J73" s="81"/>
      <c r="K73" s="82">
        <v>227</v>
      </c>
      <c r="L73" s="93"/>
      <c r="M73" s="94">
        <f>K73*L73</f>
        <v>0</v>
      </c>
      <c r="N73" s="85"/>
      <c r="O73" s="88">
        <f>N73*K73</f>
        <v>0</v>
      </c>
      <c r="P73" s="93"/>
      <c r="Q73" s="94">
        <f>P73*K73</f>
        <v>0</v>
      </c>
      <c r="R73" s="95"/>
      <c r="S73" s="88">
        <f>R73*K73</f>
        <v>0</v>
      </c>
      <c r="T73" s="93"/>
      <c r="U73" s="94">
        <f>T73*K73</f>
        <v>0</v>
      </c>
    </row>
    <row r="74" spans="1:21" ht="15">
      <c r="A74" s="126" t="s">
        <v>130</v>
      </c>
      <c r="B74" s="125"/>
      <c r="C74" s="117">
        <f>6.5*B74/100</f>
        <v>0</v>
      </c>
      <c r="D74" s="117">
        <f>14.1*B74/100</f>
        <v>0</v>
      </c>
      <c r="E74" s="118">
        <f>46.9*B74/100</f>
        <v>0</v>
      </c>
      <c r="F74" s="78">
        <f>36*B74/100</f>
        <v>0</v>
      </c>
      <c r="G74" s="80">
        <f>18.9*B74/100</f>
        <v>0</v>
      </c>
      <c r="H74" s="80">
        <f>7.7*B74/100</f>
        <v>0</v>
      </c>
      <c r="I74" s="81">
        <f>33*B74/100</f>
        <v>0</v>
      </c>
      <c r="J74" s="81">
        <f>1.6*B74/100</f>
        <v>0</v>
      </c>
      <c r="K74" s="82">
        <v>340</v>
      </c>
      <c r="L74" s="93"/>
      <c r="M74" s="94">
        <f>K74*L74/100</f>
        <v>0</v>
      </c>
      <c r="N74" s="85"/>
      <c r="O74" s="88">
        <f>N74*K74/100</f>
        <v>0</v>
      </c>
      <c r="P74" s="93"/>
      <c r="Q74" s="94">
        <f>P74*K74/100</f>
        <v>0</v>
      </c>
      <c r="R74" s="95"/>
      <c r="S74" s="88">
        <f>R74*K74/100</f>
        <v>0</v>
      </c>
      <c r="T74" s="93"/>
      <c r="U74" s="94">
        <f>T74*K74/100</f>
        <v>0</v>
      </c>
    </row>
    <row r="75" spans="1:21" ht="15">
      <c r="A75" s="126" t="s">
        <v>131</v>
      </c>
      <c r="B75" s="125"/>
      <c r="C75" s="117">
        <f>2.7*B75</f>
        <v>0</v>
      </c>
      <c r="D75" s="117">
        <f>6.2*B75</f>
        <v>0</v>
      </c>
      <c r="E75" s="118">
        <f>21.3*B75</f>
        <v>0</v>
      </c>
      <c r="F75" s="78"/>
      <c r="G75" s="80"/>
      <c r="H75" s="80"/>
      <c r="I75" s="81"/>
      <c r="J75" s="81"/>
      <c r="K75" s="82">
        <v>139</v>
      </c>
      <c r="L75" s="93"/>
      <c r="M75" s="94">
        <f aca="true" t="shared" si="20" ref="M75:M81">K75*L75</f>
        <v>0</v>
      </c>
      <c r="N75" s="85"/>
      <c r="O75" s="88">
        <f aca="true" t="shared" si="21" ref="O75:O81">N75*K75</f>
        <v>0</v>
      </c>
      <c r="P75" s="93"/>
      <c r="Q75" s="94">
        <f aca="true" t="shared" si="22" ref="Q75:Q81">P75*K75</f>
        <v>0</v>
      </c>
      <c r="R75" s="95"/>
      <c r="S75" s="88">
        <f aca="true" t="shared" si="23" ref="S75:S81">R75*K75</f>
        <v>0</v>
      </c>
      <c r="T75" s="93"/>
      <c r="U75" s="94">
        <f aca="true" t="shared" si="24" ref="U75:U81">T75*K75</f>
        <v>0</v>
      </c>
    </row>
    <row r="76" spans="1:21" ht="15">
      <c r="A76" s="126" t="s">
        <v>132</v>
      </c>
      <c r="B76" s="125"/>
      <c r="C76" s="117">
        <f>10*B76/100</f>
        <v>0</v>
      </c>
      <c r="D76" s="117">
        <f>14.8*B76/100</f>
        <v>0</v>
      </c>
      <c r="E76" s="118">
        <f>47*B76/100</f>
        <v>0</v>
      </c>
      <c r="F76" s="78">
        <f>4.2*B76/100</f>
        <v>0</v>
      </c>
      <c r="G76" s="80">
        <f>44.2*B76/100</f>
        <v>0</v>
      </c>
      <c r="H76" s="80">
        <f>5.7*B76/100</f>
        <v>0</v>
      </c>
      <c r="I76" s="81">
        <f>52*B76/100</f>
        <v>0</v>
      </c>
      <c r="J76" s="81">
        <f>1.3*B76/100</f>
        <v>0</v>
      </c>
      <c r="K76" s="82">
        <v>361.2</v>
      </c>
      <c r="L76" s="93"/>
      <c r="M76" s="94">
        <f t="shared" si="20"/>
        <v>0</v>
      </c>
      <c r="N76" s="85"/>
      <c r="O76" s="88">
        <f t="shared" si="21"/>
        <v>0</v>
      </c>
      <c r="P76" s="93"/>
      <c r="Q76" s="94">
        <f t="shared" si="22"/>
        <v>0</v>
      </c>
      <c r="R76" s="95"/>
      <c r="S76" s="88">
        <f t="shared" si="23"/>
        <v>0</v>
      </c>
      <c r="T76" s="93"/>
      <c r="U76" s="94">
        <f t="shared" si="24"/>
        <v>0</v>
      </c>
    </row>
    <row r="77" spans="1:21" ht="15">
      <c r="A77" s="126" t="s">
        <v>133</v>
      </c>
      <c r="B77" s="125"/>
      <c r="C77" s="117">
        <f>3.5*B77</f>
        <v>0</v>
      </c>
      <c r="D77" s="117">
        <f>4.7*B77</f>
        <v>0</v>
      </c>
      <c r="E77" s="118">
        <f>17.8*B77</f>
        <v>0</v>
      </c>
      <c r="F77" s="78"/>
      <c r="G77" s="80"/>
      <c r="H77" s="80"/>
      <c r="I77" s="81"/>
      <c r="J77" s="81"/>
      <c r="K77" s="82">
        <v>128</v>
      </c>
      <c r="L77" s="93"/>
      <c r="M77" s="94">
        <f t="shared" si="20"/>
        <v>0</v>
      </c>
      <c r="N77" s="85"/>
      <c r="O77" s="88">
        <f t="shared" si="21"/>
        <v>0</v>
      </c>
      <c r="P77" s="93"/>
      <c r="Q77" s="94">
        <f t="shared" si="22"/>
        <v>0</v>
      </c>
      <c r="R77" s="95"/>
      <c r="S77" s="88">
        <f t="shared" si="23"/>
        <v>0</v>
      </c>
      <c r="T77" s="93"/>
      <c r="U77" s="94">
        <f t="shared" si="24"/>
        <v>0</v>
      </c>
    </row>
    <row r="78" spans="1:21" ht="15">
      <c r="A78" s="126" t="s">
        <v>134</v>
      </c>
      <c r="B78" s="125"/>
      <c r="C78" s="117">
        <f>3.3*B78</f>
        <v>0</v>
      </c>
      <c r="D78" s="117">
        <f>5.2*B78</f>
        <v>0</v>
      </c>
      <c r="E78" s="118">
        <f>16.7*B78</f>
        <v>0</v>
      </c>
      <c r="F78" s="78">
        <f>4.9*B78</f>
        <v>0</v>
      </c>
      <c r="G78" s="80">
        <f>11.8*B78</f>
        <v>0</v>
      </c>
      <c r="H78" s="80">
        <f>2.5*B78</f>
        <v>0</v>
      </c>
      <c r="I78" s="81"/>
      <c r="J78" s="81"/>
      <c r="K78" s="82">
        <v>126</v>
      </c>
      <c r="L78" s="93"/>
      <c r="M78" s="94">
        <f t="shared" si="20"/>
        <v>0</v>
      </c>
      <c r="N78" s="85"/>
      <c r="O78" s="88">
        <f t="shared" si="21"/>
        <v>0</v>
      </c>
      <c r="P78" s="93"/>
      <c r="Q78" s="94">
        <f t="shared" si="22"/>
        <v>0</v>
      </c>
      <c r="R78" s="95"/>
      <c r="S78" s="88">
        <f t="shared" si="23"/>
        <v>0</v>
      </c>
      <c r="T78" s="93"/>
      <c r="U78" s="94">
        <f t="shared" si="24"/>
        <v>0</v>
      </c>
    </row>
    <row r="79" spans="1:21" ht="15">
      <c r="A79" s="126" t="s">
        <v>135</v>
      </c>
      <c r="B79" s="125"/>
      <c r="C79" s="117">
        <f>7.5*B79/100</f>
        <v>0</v>
      </c>
      <c r="D79" s="117">
        <f>17.2*B79/100</f>
        <v>0</v>
      </c>
      <c r="E79" s="118">
        <f>55*B79/100</f>
        <v>0</v>
      </c>
      <c r="F79" s="78">
        <f>15*B79/100</f>
        <v>0</v>
      </c>
      <c r="G79" s="80">
        <f>47.5*B79/100</f>
        <v>0</v>
      </c>
      <c r="H79" s="80">
        <f>11*B79/100</f>
        <v>0</v>
      </c>
      <c r="I79" s="81">
        <f>42*B79/100</f>
        <v>0</v>
      </c>
      <c r="J79" s="81">
        <f>1.2*B79/100</f>
        <v>0</v>
      </c>
      <c r="K79" s="82">
        <v>404.8</v>
      </c>
      <c r="L79" s="93"/>
      <c r="M79" s="94">
        <f t="shared" si="20"/>
        <v>0</v>
      </c>
      <c r="N79" s="85"/>
      <c r="O79" s="88">
        <f t="shared" si="21"/>
        <v>0</v>
      </c>
      <c r="P79" s="93"/>
      <c r="Q79" s="94">
        <f t="shared" si="22"/>
        <v>0</v>
      </c>
      <c r="R79" s="95"/>
      <c r="S79" s="88">
        <f t="shared" si="23"/>
        <v>0</v>
      </c>
      <c r="T79" s="93"/>
      <c r="U79" s="94">
        <f t="shared" si="24"/>
        <v>0</v>
      </c>
    </row>
    <row r="80" spans="1:21" ht="15">
      <c r="A80" s="126" t="s">
        <v>136</v>
      </c>
      <c r="B80" s="125"/>
      <c r="C80" s="117">
        <f>2.9*B80</f>
        <v>0</v>
      </c>
      <c r="D80" s="117">
        <f>8.7*B80</f>
        <v>0</v>
      </c>
      <c r="E80" s="118">
        <f>19.5*B80</f>
        <v>0</v>
      </c>
      <c r="F80" s="78">
        <f>4.4*B80</f>
        <v>0</v>
      </c>
      <c r="G80" s="80">
        <f>14.9*B80</f>
        <v>0</v>
      </c>
      <c r="H80" s="80">
        <f>4.8*B80</f>
        <v>0</v>
      </c>
      <c r="I80" s="81"/>
      <c r="J80" s="81"/>
      <c r="K80" s="82">
        <v>167</v>
      </c>
      <c r="L80" s="93"/>
      <c r="M80" s="94">
        <f t="shared" si="20"/>
        <v>0</v>
      </c>
      <c r="N80" s="85"/>
      <c r="O80" s="88">
        <f t="shared" si="21"/>
        <v>0</v>
      </c>
      <c r="P80" s="93"/>
      <c r="Q80" s="94">
        <f t="shared" si="22"/>
        <v>0</v>
      </c>
      <c r="R80" s="95"/>
      <c r="S80" s="88">
        <f t="shared" si="23"/>
        <v>0</v>
      </c>
      <c r="T80" s="93"/>
      <c r="U80" s="94">
        <f t="shared" si="24"/>
        <v>0</v>
      </c>
    </row>
    <row r="81" spans="1:21" ht="15">
      <c r="A81" s="126" t="s">
        <v>137</v>
      </c>
      <c r="B81" s="125"/>
      <c r="C81" s="117">
        <f>2.7*B81</f>
        <v>0</v>
      </c>
      <c r="D81" s="117">
        <f>4*B81</f>
        <v>0</v>
      </c>
      <c r="E81" s="118">
        <f>19.1*B81</f>
        <v>0</v>
      </c>
      <c r="F81" s="78">
        <f>4*B81</f>
        <v>0</v>
      </c>
      <c r="G81" s="80">
        <f>15*B81</f>
        <v>0</v>
      </c>
      <c r="H81" s="80">
        <f>1.6*B81</f>
        <v>0</v>
      </c>
      <c r="I81" s="81"/>
      <c r="J81" s="81"/>
      <c r="K81" s="82">
        <v>126</v>
      </c>
      <c r="L81" s="93"/>
      <c r="M81" s="94">
        <f t="shared" si="20"/>
        <v>0</v>
      </c>
      <c r="N81" s="85"/>
      <c r="O81" s="88">
        <f t="shared" si="21"/>
        <v>0</v>
      </c>
      <c r="P81" s="93"/>
      <c r="Q81" s="94">
        <f t="shared" si="22"/>
        <v>0</v>
      </c>
      <c r="R81" s="95"/>
      <c r="S81" s="88">
        <f t="shared" si="23"/>
        <v>0</v>
      </c>
      <c r="T81" s="93"/>
      <c r="U81" s="94">
        <f t="shared" si="24"/>
        <v>0</v>
      </c>
    </row>
    <row r="82" spans="1:21" ht="15">
      <c r="A82" s="126" t="s">
        <v>138</v>
      </c>
      <c r="B82" s="125"/>
      <c r="C82" s="117">
        <f>9.5*B82/100</f>
        <v>0</v>
      </c>
      <c r="D82" s="117">
        <f>13.5*B82/100</f>
        <v>0</v>
      </c>
      <c r="E82" s="118">
        <f>48.9*B82/100</f>
        <v>0</v>
      </c>
      <c r="F82" s="78">
        <f>14*B82/100</f>
        <v>0</v>
      </c>
      <c r="G82" s="80">
        <f>34*B82/100</f>
        <v>0</v>
      </c>
      <c r="H82" s="80">
        <f>6*B82/100</f>
        <v>0</v>
      </c>
      <c r="I82" s="79"/>
      <c r="J82" s="79"/>
      <c r="K82" s="82">
        <v>322</v>
      </c>
      <c r="L82" s="93"/>
      <c r="M82" s="94">
        <f>K82*L82/100</f>
        <v>0</v>
      </c>
      <c r="N82" s="85"/>
      <c r="O82" s="88">
        <f>N82*K82/100</f>
        <v>0</v>
      </c>
      <c r="P82" s="93"/>
      <c r="Q82" s="94">
        <f>P82*K82/100</f>
        <v>0</v>
      </c>
      <c r="R82" s="95"/>
      <c r="S82" s="88">
        <f>R82*K82/100</f>
        <v>0</v>
      </c>
      <c r="T82" s="93"/>
      <c r="U82" s="94">
        <f>T82*K82/100</f>
        <v>0</v>
      </c>
    </row>
    <row r="83" spans="1:21" ht="15">
      <c r="A83" s="126" t="s">
        <v>139</v>
      </c>
      <c r="B83" s="125"/>
      <c r="C83" s="117">
        <f>2.4*B83</f>
        <v>0</v>
      </c>
      <c r="D83" s="117">
        <f>7*B83</f>
        <v>0</v>
      </c>
      <c r="E83" s="118">
        <f>57.9*B83</f>
        <v>0</v>
      </c>
      <c r="F83" s="78">
        <v>0</v>
      </c>
      <c r="G83" s="80">
        <v>0</v>
      </c>
      <c r="H83" s="80">
        <v>0</v>
      </c>
      <c r="I83" s="81"/>
      <c r="J83" s="81"/>
      <c r="K83" s="82">
        <v>147</v>
      </c>
      <c r="L83" s="93"/>
      <c r="M83" s="94">
        <f>L83*K83</f>
        <v>0</v>
      </c>
      <c r="N83" s="85"/>
      <c r="O83" s="88">
        <f>N83*K83</f>
        <v>0</v>
      </c>
      <c r="P83" s="93"/>
      <c r="Q83" s="94">
        <f>P83*K83</f>
        <v>0</v>
      </c>
      <c r="R83" s="95"/>
      <c r="S83" s="88">
        <f>R83*K83</f>
        <v>0</v>
      </c>
      <c r="T83" s="93"/>
      <c r="U83" s="94">
        <f>T83*K83</f>
        <v>0</v>
      </c>
    </row>
    <row r="84" spans="1:21" ht="15">
      <c r="A84" s="126" t="s">
        <v>140</v>
      </c>
      <c r="B84" s="125"/>
      <c r="C84" s="117">
        <f>1.4*B84</f>
        <v>0</v>
      </c>
      <c r="D84" s="117">
        <f>4.8*B84</f>
        <v>0</v>
      </c>
      <c r="E84" s="118">
        <f>18.4*B84</f>
        <v>0</v>
      </c>
      <c r="F84" s="78">
        <f>12.7*B84</f>
        <v>0</v>
      </c>
      <c r="G84" s="80">
        <f>5.7*B84</f>
        <v>0</v>
      </c>
      <c r="H84" s="80">
        <f>1.9*B84</f>
        <v>0</v>
      </c>
      <c r="I84" s="79"/>
      <c r="J84" s="79"/>
      <c r="K84" s="82">
        <v>123</v>
      </c>
      <c r="L84" s="93"/>
      <c r="M84" s="94">
        <f>L84*K84</f>
        <v>0</v>
      </c>
      <c r="N84" s="85"/>
      <c r="O84" s="88">
        <f>N84*K84</f>
        <v>0</v>
      </c>
      <c r="P84" s="93"/>
      <c r="Q84" s="94">
        <f>P84*K84</f>
        <v>0</v>
      </c>
      <c r="R84" s="95"/>
      <c r="S84" s="88">
        <f>R84*K84</f>
        <v>0</v>
      </c>
      <c r="T84" s="93"/>
      <c r="U84" s="94">
        <f>T84*K84</f>
        <v>0</v>
      </c>
    </row>
    <row r="85" spans="1:21" ht="15">
      <c r="A85" s="126" t="s">
        <v>141</v>
      </c>
      <c r="B85" s="125"/>
      <c r="C85" s="117">
        <f>6.6*B85/100</f>
        <v>0</v>
      </c>
      <c r="D85" s="117">
        <f>29.9*B85/100</f>
        <v>0</v>
      </c>
      <c r="E85" s="118">
        <f>47.2*B85/100</f>
        <v>0</v>
      </c>
      <c r="F85" s="78">
        <f>36.2*B85/100</f>
        <v>0</v>
      </c>
      <c r="G85" s="80">
        <f>11*B85/100</f>
        <v>0</v>
      </c>
      <c r="H85" s="80">
        <f>16.7*B85/100</f>
        <v>0</v>
      </c>
      <c r="I85" s="81">
        <f>67.9*B85/100</f>
        <v>0</v>
      </c>
      <c r="J85" s="79"/>
      <c r="K85" s="82">
        <v>484</v>
      </c>
      <c r="L85" s="93"/>
      <c r="M85" s="94">
        <f>K85*L85/100</f>
        <v>0</v>
      </c>
      <c r="N85" s="85"/>
      <c r="O85" s="88">
        <f>N85*K85/100</f>
        <v>0</v>
      </c>
      <c r="P85" s="93"/>
      <c r="Q85" s="94">
        <f>P85*K85/100</f>
        <v>0</v>
      </c>
      <c r="R85" s="95"/>
      <c r="S85" s="88">
        <f>R85*K85/100</f>
        <v>0</v>
      </c>
      <c r="T85" s="93"/>
      <c r="U85" s="94">
        <f>T85*K85/100</f>
        <v>0</v>
      </c>
    </row>
    <row r="86" spans="1:21" ht="15">
      <c r="A86" s="124" t="s">
        <v>142</v>
      </c>
      <c r="B86" s="125"/>
      <c r="C86" s="117">
        <f>2.6*B86</f>
        <v>0</v>
      </c>
      <c r="D86" s="117">
        <f>10.4*B86</f>
        <v>0</v>
      </c>
      <c r="E86" s="118">
        <f>14.4*B86</f>
        <v>0</v>
      </c>
      <c r="F86" s="78"/>
      <c r="G86" s="80"/>
      <c r="H86" s="80">
        <f>5.4*B86</f>
        <v>0</v>
      </c>
      <c r="I86" s="79"/>
      <c r="J86" s="79"/>
      <c r="K86" s="82">
        <v>161</v>
      </c>
      <c r="L86" s="93"/>
      <c r="M86" s="94">
        <f>K86*L86/100</f>
        <v>0</v>
      </c>
      <c r="N86" s="85"/>
      <c r="O86" s="88">
        <f>N86*K86/100</f>
        <v>0</v>
      </c>
      <c r="P86" s="93"/>
      <c r="Q86" s="94">
        <f>P86*K86/100</f>
        <v>0</v>
      </c>
      <c r="R86" s="95"/>
      <c r="S86" s="88">
        <f>R86*K86/100</f>
        <v>0</v>
      </c>
      <c r="T86" s="93"/>
      <c r="U86" s="94">
        <f>T86*K86/100</f>
        <v>0</v>
      </c>
    </row>
    <row r="87" spans="1:21" ht="15">
      <c r="A87" s="126" t="s">
        <v>143</v>
      </c>
      <c r="B87" s="125"/>
      <c r="C87" s="117">
        <f>2.6*B87</f>
        <v>0</v>
      </c>
      <c r="D87" s="117">
        <f>8.1*B87</f>
        <v>0</v>
      </c>
      <c r="E87" s="118">
        <f>18.9*B87</f>
        <v>0</v>
      </c>
      <c r="F87" s="78"/>
      <c r="G87" s="80"/>
      <c r="H87" s="80"/>
      <c r="I87" s="79"/>
      <c r="J87" s="79"/>
      <c r="K87" s="82">
        <v>156</v>
      </c>
      <c r="L87" s="93"/>
      <c r="M87" s="94">
        <f>K87*L87/100</f>
        <v>0</v>
      </c>
      <c r="N87" s="85"/>
      <c r="O87" s="88">
        <f>N87*K87/100</f>
        <v>0</v>
      </c>
      <c r="P87" s="93"/>
      <c r="Q87" s="94">
        <f>P87*K87/100</f>
        <v>0</v>
      </c>
      <c r="R87" s="95"/>
      <c r="S87" s="88">
        <f>R87*K87/100</f>
        <v>0</v>
      </c>
      <c r="T87" s="93"/>
      <c r="U87" s="94">
        <f>T87*K87/100</f>
        <v>0</v>
      </c>
    </row>
    <row r="88" spans="1:21" ht="15">
      <c r="A88" s="126" t="s">
        <v>144</v>
      </c>
      <c r="B88" s="125"/>
      <c r="C88" s="117">
        <f>2.8*B88</f>
        <v>0</v>
      </c>
      <c r="D88" s="117">
        <f>8*B88</f>
        <v>0</v>
      </c>
      <c r="E88" s="118">
        <f>21.4*B88</f>
        <v>0</v>
      </c>
      <c r="F88" s="78">
        <f>5.9*B88</f>
        <v>0</v>
      </c>
      <c r="G88" s="80">
        <f>16*B88</f>
        <v>0</v>
      </c>
      <c r="H88" s="80">
        <f>5.3*B88</f>
        <v>0</v>
      </c>
      <c r="I88" s="79"/>
      <c r="J88" s="79"/>
      <c r="K88" s="82">
        <v>169</v>
      </c>
      <c r="L88" s="93"/>
      <c r="M88" s="94">
        <f>K88*L88/100</f>
        <v>0</v>
      </c>
      <c r="N88" s="85"/>
      <c r="O88" s="88">
        <f>N88*K88/100</f>
        <v>0</v>
      </c>
      <c r="P88" s="93"/>
      <c r="Q88" s="94">
        <f>P88*K88/100</f>
        <v>0</v>
      </c>
      <c r="R88" s="95"/>
      <c r="S88" s="88">
        <f>R88*K88/100</f>
        <v>0</v>
      </c>
      <c r="T88" s="93"/>
      <c r="U88" s="94">
        <f>T88*K88/100</f>
        <v>0</v>
      </c>
    </row>
    <row r="89" spans="1:21" ht="15">
      <c r="A89" s="126" t="s">
        <v>145</v>
      </c>
      <c r="B89" s="125"/>
      <c r="C89" s="117">
        <f>3.6*B89</f>
        <v>0</v>
      </c>
      <c r="D89" s="117">
        <f>2.5*B89</f>
        <v>0</v>
      </c>
      <c r="E89" s="118">
        <f>17.5*B89</f>
        <v>0</v>
      </c>
      <c r="F89" s="78"/>
      <c r="G89" s="80"/>
      <c r="H89" s="80"/>
      <c r="I89" s="79"/>
      <c r="J89" s="79"/>
      <c r="K89" s="82">
        <v>105</v>
      </c>
      <c r="L89" s="93"/>
      <c r="M89" s="94">
        <f>K89*L89/100</f>
        <v>0</v>
      </c>
      <c r="N89" s="85"/>
      <c r="O89" s="88">
        <f>N89*K89/100</f>
        <v>0</v>
      </c>
      <c r="P89" s="93"/>
      <c r="Q89" s="94">
        <f>P89*K89/100</f>
        <v>0</v>
      </c>
      <c r="R89" s="95"/>
      <c r="S89" s="88">
        <f>R89*K89/100</f>
        <v>0</v>
      </c>
      <c r="T89" s="93"/>
      <c r="U89" s="94">
        <f>T89*K89/100</f>
        <v>0</v>
      </c>
    </row>
    <row r="90" spans="1:21" ht="15">
      <c r="A90" s="124" t="s">
        <v>146</v>
      </c>
      <c r="B90" s="125"/>
      <c r="C90" s="117">
        <f>2*B90</f>
        <v>0</v>
      </c>
      <c r="D90" s="117">
        <f>2*B90</f>
        <v>0</v>
      </c>
      <c r="E90" s="118">
        <f>13*B90</f>
        <v>0</v>
      </c>
      <c r="F90" s="78">
        <f>6*B90</f>
        <v>0</v>
      </c>
      <c r="G90" s="80">
        <f>7*B90</f>
        <v>0</v>
      </c>
      <c r="H90" s="80">
        <f>1*B90</f>
        <v>0</v>
      </c>
      <c r="I90" s="81"/>
      <c r="J90" s="81">
        <f>1.1*B90</f>
        <v>0</v>
      </c>
      <c r="K90" s="82">
        <f>79</f>
        <v>79</v>
      </c>
      <c r="L90" s="93"/>
      <c r="M90" s="94">
        <f aca="true" t="shared" si="25" ref="M90:M95">L90*K90</f>
        <v>0</v>
      </c>
      <c r="N90" s="85"/>
      <c r="O90" s="88">
        <f aca="true" t="shared" si="26" ref="O90:O95">N90*K90</f>
        <v>0</v>
      </c>
      <c r="P90" s="93"/>
      <c r="Q90" s="94">
        <f aca="true" t="shared" si="27" ref="Q90:Q95">P90*K90</f>
        <v>0</v>
      </c>
      <c r="R90" s="95"/>
      <c r="S90" s="88">
        <f aca="true" t="shared" si="28" ref="S90:S95">R90*K90</f>
        <v>0</v>
      </c>
      <c r="T90" s="93"/>
      <c r="U90" s="94">
        <f aca="true" t="shared" si="29" ref="U90:U95">T90*K90</f>
        <v>0</v>
      </c>
    </row>
    <row r="91" spans="1:21" ht="15">
      <c r="A91" s="126" t="s">
        <v>147</v>
      </c>
      <c r="B91" s="125"/>
      <c r="C91" s="117">
        <f>1.5*B91</f>
        <v>0</v>
      </c>
      <c r="D91" s="117">
        <f>3*B91</f>
        <v>0</v>
      </c>
      <c r="E91" s="118">
        <f>13*B91</f>
        <v>0</v>
      </c>
      <c r="F91" s="78">
        <f>5*B91</f>
        <v>0</v>
      </c>
      <c r="G91" s="80">
        <f>7*B91</f>
        <v>0</v>
      </c>
      <c r="H91" s="80">
        <f>1.5*B91</f>
        <v>0</v>
      </c>
      <c r="I91" s="81"/>
      <c r="J91" s="81"/>
      <c r="K91" s="82">
        <v>90</v>
      </c>
      <c r="L91" s="93"/>
      <c r="M91" s="94">
        <f t="shared" si="25"/>
        <v>0</v>
      </c>
      <c r="N91" s="85"/>
      <c r="O91" s="88">
        <f t="shared" si="26"/>
        <v>0</v>
      </c>
      <c r="P91" s="93"/>
      <c r="Q91" s="94">
        <f t="shared" si="27"/>
        <v>0</v>
      </c>
      <c r="R91" s="95"/>
      <c r="S91" s="88">
        <f t="shared" si="28"/>
        <v>0</v>
      </c>
      <c r="T91" s="93"/>
      <c r="U91" s="94">
        <f t="shared" si="29"/>
        <v>0</v>
      </c>
    </row>
    <row r="92" spans="1:21" ht="15">
      <c r="A92" s="126" t="s">
        <v>148</v>
      </c>
      <c r="B92" s="125"/>
      <c r="C92" s="117">
        <f>0.91*B92</f>
        <v>0</v>
      </c>
      <c r="D92" s="117">
        <f>1.7*B92</f>
        <v>0</v>
      </c>
      <c r="E92" s="118">
        <f>13*B92</f>
        <v>0</v>
      </c>
      <c r="F92" s="78">
        <f>5.9*B92</f>
        <v>0</v>
      </c>
      <c r="G92" s="80">
        <f>7*B92</f>
        <v>0</v>
      </c>
      <c r="H92" s="80">
        <f>0.91*B92</f>
        <v>0</v>
      </c>
      <c r="I92" s="81"/>
      <c r="J92" s="81"/>
      <c r="K92" s="82">
        <v>70</v>
      </c>
      <c r="L92" s="93"/>
      <c r="M92" s="94">
        <f t="shared" si="25"/>
        <v>0</v>
      </c>
      <c r="N92" s="85"/>
      <c r="O92" s="88">
        <f t="shared" si="26"/>
        <v>0</v>
      </c>
      <c r="P92" s="93"/>
      <c r="Q92" s="94">
        <f t="shared" si="27"/>
        <v>0</v>
      </c>
      <c r="R92" s="95"/>
      <c r="S92" s="88">
        <f t="shared" si="28"/>
        <v>0</v>
      </c>
      <c r="T92" s="93"/>
      <c r="U92" s="94">
        <f t="shared" si="29"/>
        <v>0</v>
      </c>
    </row>
    <row r="93" spans="1:21" ht="15">
      <c r="A93" s="126" t="s">
        <v>149</v>
      </c>
      <c r="B93" s="125"/>
      <c r="C93" s="117">
        <f>1*B93</f>
        <v>0</v>
      </c>
      <c r="D93" s="117">
        <f>2.4*B93</f>
        <v>0</v>
      </c>
      <c r="E93" s="118">
        <f>16*B93</f>
        <v>0</v>
      </c>
      <c r="F93" s="78">
        <f>5.6*B93</f>
        <v>0</v>
      </c>
      <c r="G93" s="80">
        <f>10.4*B93</f>
        <v>0</v>
      </c>
      <c r="H93" s="80"/>
      <c r="I93" s="81"/>
      <c r="J93" s="81"/>
      <c r="K93" s="82">
        <v>89</v>
      </c>
      <c r="L93" s="93"/>
      <c r="M93" s="94">
        <f t="shared" si="25"/>
        <v>0</v>
      </c>
      <c r="N93" s="85"/>
      <c r="O93" s="88">
        <f t="shared" si="26"/>
        <v>0</v>
      </c>
      <c r="P93" s="93"/>
      <c r="Q93" s="94">
        <f t="shared" si="27"/>
        <v>0</v>
      </c>
      <c r="R93" s="95"/>
      <c r="S93" s="88">
        <f t="shared" si="28"/>
        <v>0</v>
      </c>
      <c r="T93" s="93"/>
      <c r="U93" s="94">
        <f t="shared" si="29"/>
        <v>0</v>
      </c>
    </row>
    <row r="94" spans="1:21" ht="15">
      <c r="A94" s="126" t="s">
        <v>150</v>
      </c>
      <c r="B94" s="125"/>
      <c r="C94" s="117">
        <f>1.3*B94</f>
        <v>0</v>
      </c>
      <c r="D94" s="117">
        <f>4.4*B94</f>
        <v>0</v>
      </c>
      <c r="E94" s="118">
        <f>15*B94</f>
        <v>0</v>
      </c>
      <c r="F94" s="78">
        <f>6.2*B94</f>
        <v>0</v>
      </c>
      <c r="G94" s="80">
        <f>8.8*B94</f>
        <v>0</v>
      </c>
      <c r="H94" s="80"/>
      <c r="I94" s="81"/>
      <c r="J94" s="81"/>
      <c r="K94" s="82">
        <v>105</v>
      </c>
      <c r="L94" s="93"/>
      <c r="M94" s="94">
        <f t="shared" si="25"/>
        <v>0</v>
      </c>
      <c r="N94" s="85"/>
      <c r="O94" s="88">
        <f t="shared" si="26"/>
        <v>0</v>
      </c>
      <c r="P94" s="93"/>
      <c r="Q94" s="94">
        <f t="shared" si="27"/>
        <v>0</v>
      </c>
      <c r="R94" s="95"/>
      <c r="S94" s="88">
        <f t="shared" si="28"/>
        <v>0</v>
      </c>
      <c r="T94" s="93"/>
      <c r="U94" s="94">
        <f t="shared" si="29"/>
        <v>0</v>
      </c>
    </row>
    <row r="95" spans="1:21" ht="15">
      <c r="A95" s="128" t="s">
        <v>151</v>
      </c>
      <c r="B95" s="125"/>
      <c r="C95" s="117"/>
      <c r="D95" s="117"/>
      <c r="E95" s="118"/>
      <c r="F95" s="78"/>
      <c r="G95" s="80"/>
      <c r="H95" s="80"/>
      <c r="I95" s="81"/>
      <c r="J95" s="81"/>
      <c r="K95" s="82"/>
      <c r="L95" s="93"/>
      <c r="M95" s="94">
        <f t="shared" si="25"/>
        <v>0</v>
      </c>
      <c r="N95" s="85"/>
      <c r="O95" s="88">
        <f t="shared" si="26"/>
        <v>0</v>
      </c>
      <c r="P95" s="93"/>
      <c r="Q95" s="94">
        <f t="shared" si="27"/>
        <v>0</v>
      </c>
      <c r="R95" s="95"/>
      <c r="S95" s="88">
        <f t="shared" si="28"/>
        <v>0</v>
      </c>
      <c r="T95" s="93"/>
      <c r="U95" s="94">
        <f t="shared" si="29"/>
        <v>0</v>
      </c>
    </row>
    <row r="96" spans="1:21" ht="15">
      <c r="A96" s="139" t="s">
        <v>152</v>
      </c>
      <c r="B96" s="125"/>
      <c r="C96" s="117">
        <f>0.8*B96</f>
        <v>0</v>
      </c>
      <c r="D96" s="117">
        <f>1.14*B96</f>
        <v>0</v>
      </c>
      <c r="E96" s="118">
        <f>5.56*B96</f>
        <v>0</v>
      </c>
      <c r="F96" s="78">
        <f>1.8*B96</f>
        <v>0</v>
      </c>
      <c r="G96" s="80">
        <f>3.76*B96</f>
        <v>0</v>
      </c>
      <c r="H96" s="80">
        <f>0.48*B96</f>
        <v>0</v>
      </c>
      <c r="I96" s="81"/>
      <c r="J96" s="81"/>
      <c r="K96" s="82">
        <v>36.8</v>
      </c>
      <c r="L96" s="93"/>
      <c r="M96" s="94"/>
      <c r="N96" s="85"/>
      <c r="O96" s="88"/>
      <c r="P96" s="93"/>
      <c r="Q96" s="94"/>
      <c r="R96" s="95"/>
      <c r="S96" s="88"/>
      <c r="T96" s="93"/>
      <c r="U96" s="94"/>
    </row>
    <row r="97" spans="1:21" ht="15">
      <c r="A97" s="139" t="s">
        <v>153</v>
      </c>
      <c r="B97" s="125"/>
      <c r="C97" s="117">
        <f>0.95*B97</f>
        <v>0</v>
      </c>
      <c r="D97" s="117">
        <f>2.7*B97</f>
        <v>0</v>
      </c>
      <c r="E97" s="118">
        <f>7.8*B97</f>
        <v>0</v>
      </c>
      <c r="F97" s="78">
        <f>4.2*B97</f>
        <v>0</v>
      </c>
      <c r="G97" s="80">
        <f>3.6*B97</f>
        <v>0</v>
      </c>
      <c r="H97" s="80">
        <f>1.45*B97</f>
        <v>0</v>
      </c>
      <c r="I97" s="81"/>
      <c r="J97" s="81"/>
      <c r="K97" s="82">
        <v>60.5</v>
      </c>
      <c r="L97" s="93"/>
      <c r="M97" s="94"/>
      <c r="N97" s="85"/>
      <c r="O97" s="88"/>
      <c r="P97" s="93"/>
      <c r="Q97" s="94"/>
      <c r="R97" s="95"/>
      <c r="S97" s="88"/>
      <c r="T97" s="93"/>
      <c r="U97" s="94"/>
    </row>
    <row r="98" spans="1:21" ht="15">
      <c r="A98" s="127" t="s">
        <v>154</v>
      </c>
      <c r="B98" s="125"/>
      <c r="C98" s="117">
        <f>0.7*B98</f>
        <v>0</v>
      </c>
      <c r="D98" s="117">
        <f>0.6*B98</f>
        <v>0</v>
      </c>
      <c r="E98" s="118">
        <f>5*B98</f>
        <v>0</v>
      </c>
      <c r="F98" s="78">
        <f>0.1*B98</f>
        <v>0</v>
      </c>
      <c r="G98" s="80">
        <f>4.9*B98</f>
        <v>0</v>
      </c>
      <c r="H98" s="80">
        <f>0.1*B98</f>
        <v>0</v>
      </c>
      <c r="I98" s="81"/>
      <c r="J98" s="81"/>
      <c r="K98" s="82">
        <v>29</v>
      </c>
      <c r="L98" s="93"/>
      <c r="M98" s="94">
        <f>L98*K98</f>
        <v>0</v>
      </c>
      <c r="N98" s="85"/>
      <c r="O98" s="88">
        <f>N98*K98</f>
        <v>0</v>
      </c>
      <c r="P98" s="93"/>
      <c r="Q98" s="94">
        <f>P98*K98</f>
        <v>0</v>
      </c>
      <c r="R98" s="95"/>
      <c r="S98" s="88">
        <f>R98*K98</f>
        <v>0</v>
      </c>
      <c r="T98" s="93"/>
      <c r="U98" s="94">
        <f>T98*K98</f>
        <v>0</v>
      </c>
    </row>
    <row r="99" spans="1:21" ht="15">
      <c r="A99" s="127" t="s">
        <v>155</v>
      </c>
      <c r="B99" s="125"/>
      <c r="C99" s="117">
        <f>0.5*B99</f>
        <v>0</v>
      </c>
      <c r="D99" s="117">
        <f>0.1*B99</f>
        <v>0</v>
      </c>
      <c r="E99" s="118">
        <f>3.7*B99</f>
        <v>0</v>
      </c>
      <c r="F99" s="78">
        <f>0.05*B99</f>
        <v>0</v>
      </c>
      <c r="G99" s="80">
        <f>3.2*B99</f>
        <v>0</v>
      </c>
      <c r="H99" s="80">
        <f>0.03*B99</f>
        <v>0</v>
      </c>
      <c r="I99" s="81"/>
      <c r="J99" s="81"/>
      <c r="K99" s="82">
        <v>19</v>
      </c>
      <c r="L99" s="93"/>
      <c r="M99" s="94">
        <f>L99*K99</f>
        <v>0</v>
      </c>
      <c r="N99" s="85"/>
      <c r="O99" s="88">
        <f>N99*K99</f>
        <v>0</v>
      </c>
      <c r="P99" s="93"/>
      <c r="Q99" s="94">
        <f>P99*K99</f>
        <v>0</v>
      </c>
      <c r="R99" s="95"/>
      <c r="S99" s="88">
        <f>R99*K99</f>
        <v>0</v>
      </c>
      <c r="T99" s="93"/>
      <c r="U99" s="94">
        <f>T99*K99</f>
        <v>0</v>
      </c>
    </row>
    <row r="100" spans="1:21" ht="15">
      <c r="A100" s="129" t="s">
        <v>156</v>
      </c>
      <c r="B100" s="130"/>
      <c r="C100" s="131"/>
      <c r="D100" s="131"/>
      <c r="E100" s="132"/>
      <c r="F100" s="113"/>
      <c r="G100" s="79"/>
      <c r="H100" s="79"/>
      <c r="I100" s="79"/>
      <c r="J100" s="79"/>
      <c r="K100" s="133"/>
      <c r="L100" s="134"/>
      <c r="M100" s="135"/>
      <c r="N100" s="136"/>
      <c r="O100" s="137"/>
      <c r="P100" s="134"/>
      <c r="Q100" s="135"/>
      <c r="R100" s="138"/>
      <c r="S100" s="137"/>
      <c r="T100" s="134"/>
      <c r="U100" s="135"/>
    </row>
    <row r="101" spans="1:21" ht="15">
      <c r="A101" s="140" t="s">
        <v>157</v>
      </c>
      <c r="B101" s="141"/>
      <c r="C101" s="142">
        <f>0.87*B101</f>
        <v>0</v>
      </c>
      <c r="D101" s="142">
        <f>2.9*B101</f>
        <v>0</v>
      </c>
      <c r="E101" s="143">
        <f>7.8*B101</f>
        <v>0</v>
      </c>
      <c r="F101" s="78">
        <f>3.6*B101</f>
        <v>0</v>
      </c>
      <c r="G101" s="80">
        <f>4.2*B101</f>
        <v>0</v>
      </c>
      <c r="H101" s="80">
        <f>1.6*B101</f>
        <v>0</v>
      </c>
      <c r="I101" s="81"/>
      <c r="J101" s="81"/>
      <c r="K101" s="82">
        <v>61</v>
      </c>
      <c r="L101" s="93"/>
      <c r="M101" s="94">
        <f aca="true" t="shared" si="30" ref="M101:M110">L101*K101</f>
        <v>0</v>
      </c>
      <c r="N101" s="85"/>
      <c r="O101" s="88">
        <f aca="true" t="shared" si="31" ref="O101:O110">N101*K101</f>
        <v>0</v>
      </c>
      <c r="P101" s="93"/>
      <c r="Q101" s="94">
        <f aca="true" t="shared" si="32" ref="Q101:Q110">P101*K101</f>
        <v>0</v>
      </c>
      <c r="R101" s="95"/>
      <c r="S101" s="88">
        <f aca="true" t="shared" si="33" ref="S101:S110">R101*K101</f>
        <v>0</v>
      </c>
      <c r="T101" s="93"/>
      <c r="U101" s="94">
        <f aca="true" t="shared" si="34" ref="U101:U110">T101*K101</f>
        <v>0</v>
      </c>
    </row>
    <row r="102" spans="1:21" ht="15">
      <c r="A102" s="140" t="s">
        <v>158</v>
      </c>
      <c r="B102" s="141"/>
      <c r="C102" s="142">
        <f>2.87*B102</f>
        <v>0</v>
      </c>
      <c r="D102" s="142">
        <f>13.89*B102</f>
        <v>0</v>
      </c>
      <c r="E102" s="143">
        <f>31.11*B102</f>
        <v>0</v>
      </c>
      <c r="F102" s="78"/>
      <c r="G102" s="80"/>
      <c r="H102" s="80"/>
      <c r="I102" s="81"/>
      <c r="J102" s="81"/>
      <c r="K102" s="82">
        <v>263</v>
      </c>
      <c r="L102" s="93"/>
      <c r="M102" s="94">
        <f t="shared" si="30"/>
        <v>0</v>
      </c>
      <c r="N102" s="85"/>
      <c r="O102" s="88">
        <f t="shared" si="31"/>
        <v>0</v>
      </c>
      <c r="P102" s="93"/>
      <c r="Q102" s="94">
        <f t="shared" si="32"/>
        <v>0</v>
      </c>
      <c r="R102" s="95"/>
      <c r="S102" s="88">
        <f t="shared" si="33"/>
        <v>0</v>
      </c>
      <c r="T102" s="93"/>
      <c r="U102" s="94">
        <f t="shared" si="34"/>
        <v>0</v>
      </c>
    </row>
    <row r="103" spans="1:21" ht="15">
      <c r="A103" s="140" t="s">
        <v>159</v>
      </c>
      <c r="B103" s="141"/>
      <c r="C103" s="142">
        <f>2.5*B103</f>
        <v>0</v>
      </c>
      <c r="D103" s="142">
        <f>11*B103</f>
        <v>0</v>
      </c>
      <c r="E103" s="143">
        <f>27.5*B103</f>
        <v>0</v>
      </c>
      <c r="F103" s="78">
        <f>14.8*B103</f>
        <v>0</v>
      </c>
      <c r="G103" s="80">
        <f>12.9*B103</f>
        <v>0</v>
      </c>
      <c r="H103" s="80">
        <f>5.8*B103</f>
        <v>0</v>
      </c>
      <c r="I103" s="81"/>
      <c r="J103" s="81"/>
      <c r="K103" s="82">
        <v>241.5</v>
      </c>
      <c r="L103" s="93"/>
      <c r="M103" s="94">
        <f t="shared" si="30"/>
        <v>0</v>
      </c>
      <c r="N103" s="85"/>
      <c r="O103" s="88">
        <f t="shared" si="31"/>
        <v>0</v>
      </c>
      <c r="P103" s="93"/>
      <c r="Q103" s="94">
        <f t="shared" si="32"/>
        <v>0</v>
      </c>
      <c r="R103" s="95"/>
      <c r="S103" s="88">
        <f t="shared" si="33"/>
        <v>0</v>
      </c>
      <c r="T103" s="93"/>
      <c r="U103" s="94">
        <f t="shared" si="34"/>
        <v>0</v>
      </c>
    </row>
    <row r="104" spans="1:21" ht="15">
      <c r="A104" s="140" t="s">
        <v>160</v>
      </c>
      <c r="B104" s="141"/>
      <c r="C104" s="142">
        <f>0.4*B104</f>
        <v>0</v>
      </c>
      <c r="D104" s="142">
        <f>1*B104</f>
        <v>0</v>
      </c>
      <c r="E104" s="143">
        <f>4.5*B104</f>
        <v>0</v>
      </c>
      <c r="F104" s="78">
        <f>3.1*B104</f>
        <v>0</v>
      </c>
      <c r="G104" s="80"/>
      <c r="H104" s="80">
        <f>0.2*B104</f>
        <v>0</v>
      </c>
      <c r="I104" s="81"/>
      <c r="J104" s="81"/>
      <c r="K104" s="82">
        <v>25</v>
      </c>
      <c r="L104" s="93"/>
      <c r="M104" s="94">
        <f t="shared" si="30"/>
        <v>0</v>
      </c>
      <c r="N104" s="85"/>
      <c r="O104" s="88">
        <f t="shared" si="31"/>
        <v>0</v>
      </c>
      <c r="P104" s="93"/>
      <c r="Q104" s="94">
        <f t="shared" si="32"/>
        <v>0</v>
      </c>
      <c r="R104" s="95"/>
      <c r="S104" s="88">
        <f t="shared" si="33"/>
        <v>0</v>
      </c>
      <c r="T104" s="93"/>
      <c r="U104" s="94">
        <f t="shared" si="34"/>
        <v>0</v>
      </c>
    </row>
    <row r="105" spans="1:21" ht="15">
      <c r="A105" s="140" t="s">
        <v>161</v>
      </c>
      <c r="B105" s="141"/>
      <c r="C105" s="142">
        <f>1.2*B105</f>
        <v>0</v>
      </c>
      <c r="D105" s="142">
        <f>3.1*B105</f>
        <v>0</v>
      </c>
      <c r="E105" s="143">
        <f>13.2*B105</f>
        <v>0</v>
      </c>
      <c r="F105" s="78">
        <f>5.9*B105</f>
        <v>0</v>
      </c>
      <c r="G105" s="80">
        <f>7.3*B105</f>
        <v>0</v>
      </c>
      <c r="H105" s="80">
        <f>1.75*B105</f>
        <v>0</v>
      </c>
      <c r="I105" s="81"/>
      <c r="J105" s="81"/>
      <c r="K105" s="82">
        <v>86</v>
      </c>
      <c r="L105" s="93"/>
      <c r="M105" s="94">
        <f t="shared" si="30"/>
        <v>0</v>
      </c>
      <c r="N105" s="85"/>
      <c r="O105" s="88">
        <f t="shared" si="31"/>
        <v>0</v>
      </c>
      <c r="P105" s="93"/>
      <c r="Q105" s="94">
        <f t="shared" si="32"/>
        <v>0</v>
      </c>
      <c r="R105" s="95"/>
      <c r="S105" s="88">
        <f t="shared" si="33"/>
        <v>0</v>
      </c>
      <c r="T105" s="93"/>
      <c r="U105" s="94">
        <f t="shared" si="34"/>
        <v>0</v>
      </c>
    </row>
    <row r="106" spans="1:21" ht="15">
      <c r="A106" s="144" t="s">
        <v>162</v>
      </c>
      <c r="B106" s="141">
        <v>1</v>
      </c>
      <c r="C106" s="142">
        <f>1.1*B106</f>
        <v>1.1</v>
      </c>
      <c r="D106" s="142">
        <f>3.3*B106</f>
        <v>3.3</v>
      </c>
      <c r="E106" s="143">
        <f>13*B106</f>
        <v>13</v>
      </c>
      <c r="F106" s="78">
        <f>6.7*B106</f>
        <v>6.7</v>
      </c>
      <c r="G106" s="80">
        <f>6.3*B106</f>
        <v>6.3</v>
      </c>
      <c r="H106" s="80">
        <f>1.9*B106</f>
        <v>1.9</v>
      </c>
      <c r="I106" s="81"/>
      <c r="J106" s="81"/>
      <c r="K106" s="82">
        <v>86.1</v>
      </c>
      <c r="L106" s="93"/>
      <c r="M106" s="94">
        <f t="shared" si="30"/>
        <v>0</v>
      </c>
      <c r="N106" s="85"/>
      <c r="O106" s="88">
        <f t="shared" si="31"/>
        <v>0</v>
      </c>
      <c r="P106" s="93"/>
      <c r="Q106" s="94">
        <f t="shared" si="32"/>
        <v>0</v>
      </c>
      <c r="R106" s="95"/>
      <c r="S106" s="88">
        <f t="shared" si="33"/>
        <v>0</v>
      </c>
      <c r="T106" s="93"/>
      <c r="U106" s="94">
        <f t="shared" si="34"/>
        <v>0</v>
      </c>
    </row>
    <row r="107" spans="1:21" ht="15">
      <c r="A107" s="140" t="s">
        <v>163</v>
      </c>
      <c r="B107" s="141"/>
      <c r="C107" s="142">
        <f>1.3*B107</f>
        <v>0</v>
      </c>
      <c r="D107" s="142">
        <f>5.2*B107</f>
        <v>0</v>
      </c>
      <c r="E107" s="143">
        <f>12*B107</f>
        <v>0</v>
      </c>
      <c r="F107" s="78"/>
      <c r="G107" s="80"/>
      <c r="H107" s="80"/>
      <c r="I107" s="81"/>
      <c r="J107" s="81"/>
      <c r="K107" s="82">
        <v>100</v>
      </c>
      <c r="L107" s="93"/>
      <c r="M107" s="94">
        <f t="shared" si="30"/>
        <v>0</v>
      </c>
      <c r="N107" s="85"/>
      <c r="O107" s="88">
        <f t="shared" si="31"/>
        <v>0</v>
      </c>
      <c r="P107" s="93"/>
      <c r="Q107" s="94">
        <f t="shared" si="32"/>
        <v>0</v>
      </c>
      <c r="R107" s="95"/>
      <c r="S107" s="88">
        <f t="shared" si="33"/>
        <v>0</v>
      </c>
      <c r="T107" s="93"/>
      <c r="U107" s="94">
        <f t="shared" si="34"/>
        <v>0</v>
      </c>
    </row>
    <row r="108" spans="1:21" ht="15">
      <c r="A108" s="140" t="s">
        <v>164</v>
      </c>
      <c r="B108" s="141"/>
      <c r="C108" s="142">
        <f>1.1*B108</f>
        <v>0</v>
      </c>
      <c r="D108" s="142">
        <f>3.8*B108</f>
        <v>0</v>
      </c>
      <c r="E108" s="143">
        <f>13.8*B108</f>
        <v>0</v>
      </c>
      <c r="F108" s="78">
        <f>6.6*B108</f>
        <v>0</v>
      </c>
      <c r="G108" s="80">
        <f>7.2*B108</f>
        <v>0</v>
      </c>
      <c r="H108" s="80">
        <f>1.8*B108</f>
        <v>0</v>
      </c>
      <c r="I108" s="81"/>
      <c r="J108" s="81"/>
      <c r="K108" s="82">
        <v>94</v>
      </c>
      <c r="L108" s="93"/>
      <c r="M108" s="94">
        <f t="shared" si="30"/>
        <v>0</v>
      </c>
      <c r="N108" s="85"/>
      <c r="O108" s="88">
        <f t="shared" si="31"/>
        <v>0</v>
      </c>
      <c r="P108" s="93"/>
      <c r="Q108" s="94">
        <f t="shared" si="32"/>
        <v>0</v>
      </c>
      <c r="R108" s="95"/>
      <c r="S108" s="88">
        <f t="shared" si="33"/>
        <v>0</v>
      </c>
      <c r="T108" s="93"/>
      <c r="U108" s="94">
        <f t="shared" si="34"/>
        <v>0</v>
      </c>
    </row>
    <row r="109" spans="1:21" ht="15">
      <c r="A109" s="140" t="s">
        <v>165</v>
      </c>
      <c r="B109" s="141"/>
      <c r="C109" s="142">
        <f>0.7*B109</f>
        <v>0</v>
      </c>
      <c r="D109" s="142">
        <f>1*B109</f>
        <v>0</v>
      </c>
      <c r="E109" s="143">
        <f>6.1*B109</f>
        <v>0</v>
      </c>
      <c r="F109" s="78">
        <f>1.9*B109</f>
        <v>0</v>
      </c>
      <c r="G109" s="80">
        <f>4.2*B109</f>
        <v>0</v>
      </c>
      <c r="H109" s="80">
        <f>0.6*B109</f>
        <v>0</v>
      </c>
      <c r="I109" s="81"/>
      <c r="J109" s="81"/>
      <c r="K109" s="82">
        <v>36</v>
      </c>
      <c r="L109" s="93"/>
      <c r="M109" s="94">
        <f t="shared" si="30"/>
        <v>0</v>
      </c>
      <c r="N109" s="85"/>
      <c r="O109" s="88">
        <f t="shared" si="31"/>
        <v>0</v>
      </c>
      <c r="P109" s="93"/>
      <c r="Q109" s="94">
        <f t="shared" si="32"/>
        <v>0</v>
      </c>
      <c r="R109" s="95"/>
      <c r="S109" s="88">
        <f t="shared" si="33"/>
        <v>0</v>
      </c>
      <c r="T109" s="93"/>
      <c r="U109" s="94">
        <f t="shared" si="34"/>
        <v>0</v>
      </c>
    </row>
    <row r="110" spans="1:21" ht="15">
      <c r="A110" s="140" t="s">
        <v>166</v>
      </c>
      <c r="B110" s="141"/>
      <c r="C110" s="142">
        <f>0.5*B110</f>
        <v>0</v>
      </c>
      <c r="D110" s="142">
        <f>1.4*B110</f>
        <v>0</v>
      </c>
      <c r="E110" s="143">
        <f>5.5*B110</f>
        <v>0</v>
      </c>
      <c r="F110" s="78">
        <f>2.9*B110</f>
        <v>0</v>
      </c>
      <c r="G110" s="80"/>
      <c r="H110" s="80"/>
      <c r="I110" s="81"/>
      <c r="J110" s="81"/>
      <c r="K110" s="82">
        <v>36</v>
      </c>
      <c r="L110" s="93"/>
      <c r="M110" s="94">
        <f t="shared" si="30"/>
        <v>0</v>
      </c>
      <c r="N110" s="85"/>
      <c r="O110" s="88">
        <f t="shared" si="31"/>
        <v>0</v>
      </c>
      <c r="P110" s="93"/>
      <c r="Q110" s="94">
        <f t="shared" si="32"/>
        <v>0</v>
      </c>
      <c r="R110" s="95"/>
      <c r="S110" s="88">
        <f t="shared" si="33"/>
        <v>0</v>
      </c>
      <c r="T110" s="93"/>
      <c r="U110" s="94">
        <f t="shared" si="34"/>
        <v>0</v>
      </c>
    </row>
    <row r="111" spans="1:21" ht="15">
      <c r="A111" s="140" t="s">
        <v>167</v>
      </c>
      <c r="B111" s="141"/>
      <c r="C111" s="142">
        <f>3.8*B111/100</f>
        <v>0</v>
      </c>
      <c r="D111" s="142">
        <f>16.8*B111/100</f>
        <v>0</v>
      </c>
      <c r="E111" s="143">
        <f>67.2*B111/100</f>
        <v>0</v>
      </c>
      <c r="F111" s="78">
        <f>29.06*B111/100</f>
        <v>0</v>
      </c>
      <c r="G111" s="80">
        <f>37.6*B111/100</f>
        <v>0</v>
      </c>
      <c r="H111" s="80">
        <f>4.8*B111/100</f>
        <v>0</v>
      </c>
      <c r="I111" s="81"/>
      <c r="J111" s="81"/>
      <c r="K111" s="82">
        <v>448</v>
      </c>
      <c r="L111" s="93"/>
      <c r="M111" s="94">
        <f>L111*K111/100</f>
        <v>0</v>
      </c>
      <c r="N111" s="85"/>
      <c r="O111" s="88">
        <f>N111*K111/100</f>
        <v>0</v>
      </c>
      <c r="P111" s="93"/>
      <c r="Q111" s="94">
        <f>P111*K111/100</f>
        <v>0</v>
      </c>
      <c r="R111" s="95"/>
      <c r="S111" s="88">
        <f>R111*K111/100</f>
        <v>0</v>
      </c>
      <c r="T111" s="93"/>
      <c r="U111" s="94">
        <f>T111*K111/100</f>
        <v>0</v>
      </c>
    </row>
    <row r="112" spans="1:21" ht="15">
      <c r="A112" s="140" t="s">
        <v>168</v>
      </c>
      <c r="B112" s="141"/>
      <c r="C112" s="142">
        <f>7.9*B112/100</f>
        <v>0</v>
      </c>
      <c r="D112" s="142">
        <f>15*B112/100</f>
        <v>0</v>
      </c>
      <c r="E112" s="143">
        <f>67*B112/100</f>
        <v>0</v>
      </c>
      <c r="F112" s="78">
        <f>20*B112/100</f>
        <v>0</v>
      </c>
      <c r="G112" s="80">
        <f>47*B112/100</f>
        <v>0</v>
      </c>
      <c r="H112" s="80">
        <f>4.1*B112/100</f>
        <v>0</v>
      </c>
      <c r="I112" s="81"/>
      <c r="J112" s="81">
        <f>2.5*B112/100</f>
        <v>0</v>
      </c>
      <c r="K112" s="82">
        <v>445</v>
      </c>
      <c r="L112" s="93"/>
      <c r="M112" s="94">
        <f>K112*L112/100</f>
        <v>0</v>
      </c>
      <c r="N112" s="85"/>
      <c r="O112" s="88">
        <f>N112*K112/100</f>
        <v>0</v>
      </c>
      <c r="P112" s="93"/>
      <c r="Q112" s="94">
        <f>P112*K112/100</f>
        <v>0</v>
      </c>
      <c r="R112" s="95"/>
      <c r="S112" s="88">
        <f>R112*K112/100</f>
        <v>0</v>
      </c>
      <c r="T112" s="93"/>
      <c r="U112" s="94">
        <f>T112*K112/100</f>
        <v>0</v>
      </c>
    </row>
    <row r="113" spans="1:21" ht="15">
      <c r="A113" s="140" t="s">
        <v>169</v>
      </c>
      <c r="B113" s="141"/>
      <c r="C113" s="142">
        <f>0.9*B113</f>
        <v>0</v>
      </c>
      <c r="D113" s="142">
        <f>5.2*B113</f>
        <v>0</v>
      </c>
      <c r="E113" s="143">
        <f>13*B113</f>
        <v>0</v>
      </c>
      <c r="F113" s="78">
        <f>10*B113</f>
        <v>0</v>
      </c>
      <c r="G113" s="80">
        <f>3*B113</f>
        <v>0</v>
      </c>
      <c r="H113" s="80">
        <f>3*B113</f>
        <v>0</v>
      </c>
      <c r="I113" s="81"/>
      <c r="J113" s="81"/>
      <c r="K113" s="82">
        <v>104</v>
      </c>
      <c r="L113" s="93"/>
      <c r="M113" s="94">
        <f>K113*L113</f>
        <v>0</v>
      </c>
      <c r="N113" s="85"/>
      <c r="O113" s="88">
        <f aca="true" t="shared" si="35" ref="O113:O119">N113*K113</f>
        <v>0</v>
      </c>
      <c r="P113" s="93"/>
      <c r="Q113" s="94">
        <f aca="true" t="shared" si="36" ref="Q113:Q119">P113*K113</f>
        <v>0</v>
      </c>
      <c r="R113" s="95"/>
      <c r="S113" s="88">
        <f aca="true" t="shared" si="37" ref="S113:S119">R113*K113</f>
        <v>0</v>
      </c>
      <c r="T113" s="93"/>
      <c r="U113" s="94">
        <f aca="true" t="shared" si="38" ref="U113:U119">T113*K113</f>
        <v>0</v>
      </c>
    </row>
    <row r="114" spans="1:21" ht="15">
      <c r="A114" s="140" t="s">
        <v>170</v>
      </c>
      <c r="B114" s="141"/>
      <c r="C114" s="142">
        <f>2*B114</f>
        <v>0</v>
      </c>
      <c r="D114" s="142">
        <f>5.5*B114</f>
        <v>0</v>
      </c>
      <c r="E114" s="143">
        <f>14*B114</f>
        <v>0</v>
      </c>
      <c r="F114" s="78">
        <f>6.5*B114</f>
        <v>0</v>
      </c>
      <c r="G114" s="80">
        <f>7.5*B114</f>
        <v>0</v>
      </c>
      <c r="H114" s="80">
        <f>1*B114</f>
        <v>0</v>
      </c>
      <c r="I114" s="81">
        <v>0</v>
      </c>
      <c r="J114" s="81">
        <v>0</v>
      </c>
      <c r="K114" s="82">
        <v>120</v>
      </c>
      <c r="L114" s="93"/>
      <c r="M114" s="94">
        <f>L114*K114</f>
        <v>0</v>
      </c>
      <c r="N114" s="85"/>
      <c r="O114" s="88">
        <f t="shared" si="35"/>
        <v>0</v>
      </c>
      <c r="P114" s="93"/>
      <c r="Q114" s="94">
        <f t="shared" si="36"/>
        <v>0</v>
      </c>
      <c r="R114" s="95"/>
      <c r="S114" s="88">
        <f t="shared" si="37"/>
        <v>0</v>
      </c>
      <c r="T114" s="93"/>
      <c r="U114" s="94">
        <f t="shared" si="38"/>
        <v>0</v>
      </c>
    </row>
    <row r="115" spans="1:21" ht="15">
      <c r="A115" s="140" t="s">
        <v>171</v>
      </c>
      <c r="B115" s="141"/>
      <c r="C115" s="142">
        <f>2.1*B115</f>
        <v>0</v>
      </c>
      <c r="D115" s="142">
        <f>8.1*B115</f>
        <v>0</v>
      </c>
      <c r="E115" s="143">
        <f>10.4*B115</f>
        <v>0</v>
      </c>
      <c r="F115" s="113"/>
      <c r="G115" s="79"/>
      <c r="H115" s="79"/>
      <c r="I115" s="81">
        <f>0.05*B115</f>
        <v>0</v>
      </c>
      <c r="J115" s="79"/>
      <c r="K115" s="82">
        <v>123</v>
      </c>
      <c r="L115" s="93"/>
      <c r="M115" s="94">
        <f>L115*K115</f>
        <v>0</v>
      </c>
      <c r="N115" s="85"/>
      <c r="O115" s="88">
        <f t="shared" si="35"/>
        <v>0</v>
      </c>
      <c r="P115" s="93"/>
      <c r="Q115" s="94">
        <f t="shared" si="36"/>
        <v>0</v>
      </c>
      <c r="R115" s="95"/>
      <c r="S115" s="88">
        <f t="shared" si="37"/>
        <v>0</v>
      </c>
      <c r="T115" s="93"/>
      <c r="U115" s="94">
        <f t="shared" si="38"/>
        <v>0</v>
      </c>
    </row>
    <row r="116" spans="1:21" ht="15">
      <c r="A116" s="140" t="s">
        <v>172</v>
      </c>
      <c r="B116" s="141"/>
      <c r="C116" s="142">
        <f>1.8*B116</f>
        <v>0</v>
      </c>
      <c r="D116" s="142">
        <f>7.3*B116</f>
        <v>0</v>
      </c>
      <c r="E116" s="143">
        <f>11.2*B116</f>
        <v>0</v>
      </c>
      <c r="F116" s="78">
        <f>11.2*B116</f>
        <v>0</v>
      </c>
      <c r="G116" s="80">
        <v>0</v>
      </c>
      <c r="H116" s="80">
        <f>4.7*B116</f>
        <v>0</v>
      </c>
      <c r="I116" s="81">
        <f>64*B116</f>
        <v>0</v>
      </c>
      <c r="J116" s="79"/>
      <c r="K116" s="82">
        <v>118</v>
      </c>
      <c r="L116" s="93"/>
      <c r="M116" s="94">
        <f>L116*K116</f>
        <v>0</v>
      </c>
      <c r="N116" s="85"/>
      <c r="O116" s="88">
        <f t="shared" si="35"/>
        <v>0</v>
      </c>
      <c r="P116" s="93"/>
      <c r="Q116" s="94">
        <f t="shared" si="36"/>
        <v>0</v>
      </c>
      <c r="R116" s="95"/>
      <c r="S116" s="88">
        <f t="shared" si="37"/>
        <v>0</v>
      </c>
      <c r="T116" s="93"/>
      <c r="U116" s="94">
        <f t="shared" si="38"/>
        <v>0</v>
      </c>
    </row>
    <row r="117" spans="1:21" ht="15">
      <c r="A117" s="140" t="s">
        <v>173</v>
      </c>
      <c r="B117" s="141"/>
      <c r="C117" s="142">
        <f>1*B117</f>
        <v>0</v>
      </c>
      <c r="D117" s="142">
        <f>4.5*B117</f>
        <v>0</v>
      </c>
      <c r="E117" s="143">
        <f>13.4*B117</f>
        <v>0</v>
      </c>
      <c r="F117" s="78">
        <f>13*B117</f>
        <v>0</v>
      </c>
      <c r="G117" s="79"/>
      <c r="H117" s="79"/>
      <c r="I117" s="81"/>
      <c r="J117" s="81"/>
      <c r="K117" s="82">
        <v>98</v>
      </c>
      <c r="L117" s="93"/>
      <c r="M117" s="94">
        <f>L117*K117</f>
        <v>0</v>
      </c>
      <c r="N117" s="85"/>
      <c r="O117" s="88">
        <f t="shared" si="35"/>
        <v>0</v>
      </c>
      <c r="P117" s="93"/>
      <c r="Q117" s="94">
        <f t="shared" si="36"/>
        <v>0</v>
      </c>
      <c r="R117" s="95"/>
      <c r="S117" s="88">
        <f t="shared" si="37"/>
        <v>0</v>
      </c>
      <c r="T117" s="93"/>
      <c r="U117" s="94">
        <f t="shared" si="38"/>
        <v>0</v>
      </c>
    </row>
    <row r="118" spans="1:21" ht="15">
      <c r="A118" s="140" t="s">
        <v>174</v>
      </c>
      <c r="B118" s="141"/>
      <c r="C118" s="142">
        <f>0.5*B118</f>
        <v>0</v>
      </c>
      <c r="D118" s="142">
        <f>2.1*B118</f>
        <v>0</v>
      </c>
      <c r="E118" s="143">
        <f>2.9*B118</f>
        <v>0</v>
      </c>
      <c r="F118" s="113"/>
      <c r="G118" s="79"/>
      <c r="H118" s="79"/>
      <c r="I118" s="81"/>
      <c r="J118" s="81"/>
      <c r="K118" s="82">
        <v>33</v>
      </c>
      <c r="L118" s="93"/>
      <c r="M118" s="94">
        <f>K118*L118</f>
        <v>0</v>
      </c>
      <c r="N118" s="85"/>
      <c r="O118" s="88">
        <f t="shared" si="35"/>
        <v>0</v>
      </c>
      <c r="P118" s="93"/>
      <c r="Q118" s="94">
        <f t="shared" si="36"/>
        <v>0</v>
      </c>
      <c r="R118" s="95"/>
      <c r="S118" s="88">
        <f t="shared" si="37"/>
        <v>0</v>
      </c>
      <c r="T118" s="93"/>
      <c r="U118" s="94">
        <f t="shared" si="38"/>
        <v>0</v>
      </c>
    </row>
    <row r="119" spans="1:21" ht="15">
      <c r="A119" s="140" t="s">
        <v>175</v>
      </c>
      <c r="B119" s="141"/>
      <c r="C119" s="142">
        <f>0.18*B119</f>
        <v>0</v>
      </c>
      <c r="D119" s="142">
        <f>0.45*B119</f>
        <v>0</v>
      </c>
      <c r="E119" s="143">
        <f>1.5*B119</f>
        <v>0</v>
      </c>
      <c r="F119" s="113"/>
      <c r="G119" s="79"/>
      <c r="H119" s="79"/>
      <c r="I119" s="81"/>
      <c r="J119" s="81"/>
      <c r="K119" s="82">
        <v>11</v>
      </c>
      <c r="L119" s="93"/>
      <c r="M119" s="94">
        <f>K119*L119</f>
        <v>0</v>
      </c>
      <c r="N119" s="85"/>
      <c r="O119" s="88">
        <f t="shared" si="35"/>
        <v>0</v>
      </c>
      <c r="P119" s="93"/>
      <c r="Q119" s="94">
        <f t="shared" si="36"/>
        <v>0</v>
      </c>
      <c r="R119" s="95"/>
      <c r="S119" s="88">
        <f t="shared" si="37"/>
        <v>0</v>
      </c>
      <c r="T119" s="93"/>
      <c r="U119" s="94">
        <f t="shared" si="38"/>
        <v>0</v>
      </c>
    </row>
    <row r="120" spans="1:21" ht="15">
      <c r="A120" s="129" t="s">
        <v>176</v>
      </c>
      <c r="B120" s="145"/>
      <c r="C120" s="146"/>
      <c r="D120" s="146"/>
      <c r="E120" s="147"/>
      <c r="F120" s="113"/>
      <c r="G120" s="79"/>
      <c r="H120" s="79"/>
      <c r="I120" s="79"/>
      <c r="J120" s="79"/>
      <c r="K120" s="133"/>
      <c r="L120" s="134"/>
      <c r="M120" s="135"/>
      <c r="N120" s="136"/>
      <c r="O120" s="137"/>
      <c r="P120" s="134"/>
      <c r="Q120" s="135"/>
      <c r="R120" s="138"/>
      <c r="S120" s="137"/>
      <c r="T120" s="134"/>
      <c r="U120" s="135"/>
    </row>
    <row r="121" spans="1:21" ht="15">
      <c r="A121" s="148" t="s">
        <v>177</v>
      </c>
      <c r="B121" s="149">
        <v>120</v>
      </c>
      <c r="C121" s="150">
        <f>20*B121/100</f>
        <v>24</v>
      </c>
      <c r="D121" s="150">
        <f>10*B121/100</f>
        <v>12</v>
      </c>
      <c r="E121" s="151"/>
      <c r="F121" s="113"/>
      <c r="G121" s="79"/>
      <c r="H121" s="80">
        <f>5*B121/100</f>
        <v>6</v>
      </c>
      <c r="I121" s="81">
        <f>15*B121/100</f>
        <v>18</v>
      </c>
      <c r="J121" s="81">
        <f>2.5*B121/100</f>
        <v>3</v>
      </c>
      <c r="K121" s="82">
        <v>170</v>
      </c>
      <c r="L121" s="93"/>
      <c r="M121" s="94">
        <f>K121*L121/100</f>
        <v>0</v>
      </c>
      <c r="N121" s="85"/>
      <c r="O121" s="88">
        <f>N121*K121/100</f>
        <v>0</v>
      </c>
      <c r="P121" s="93"/>
      <c r="Q121" s="94">
        <f>P121*K121/100</f>
        <v>0</v>
      </c>
      <c r="R121" s="87"/>
      <c r="S121" s="88">
        <f>R121*K121/100</f>
        <v>0</v>
      </c>
      <c r="T121" s="93"/>
      <c r="U121" s="94">
        <f>T121*K121/100</f>
        <v>0</v>
      </c>
    </row>
    <row r="122" spans="1:21" ht="15">
      <c r="A122" s="152" t="s">
        <v>178</v>
      </c>
      <c r="B122" s="149"/>
      <c r="C122" s="150">
        <f>8*B122</f>
        <v>0</v>
      </c>
      <c r="D122" s="150">
        <f>6.5*B122</f>
        <v>0</v>
      </c>
      <c r="E122" s="153">
        <f>0.75*B122</f>
        <v>0</v>
      </c>
      <c r="F122" s="78">
        <f>0.75*B122</f>
        <v>0</v>
      </c>
      <c r="G122" s="79"/>
      <c r="H122" s="80">
        <f>1.5*B122</f>
        <v>0</v>
      </c>
      <c r="I122" s="81"/>
      <c r="J122" s="81"/>
      <c r="K122" s="82">
        <v>80</v>
      </c>
      <c r="L122" s="93"/>
      <c r="M122" s="94">
        <f aca="true" t="shared" si="39" ref="M122:M130">L122*K122</f>
        <v>0</v>
      </c>
      <c r="N122" s="85"/>
      <c r="O122" s="88">
        <f aca="true" t="shared" si="40" ref="O122:O130">N122*K122</f>
        <v>0</v>
      </c>
      <c r="P122" s="93"/>
      <c r="Q122" s="94">
        <f aca="true" t="shared" si="41" ref="Q122:Q130">P122*K122</f>
        <v>0</v>
      </c>
      <c r="R122" s="87"/>
      <c r="S122" s="88">
        <f>R122*K122</f>
        <v>0</v>
      </c>
      <c r="T122" s="93"/>
      <c r="U122" s="94">
        <f aca="true" t="shared" si="42" ref="U122:U130">T122*K122</f>
        <v>0</v>
      </c>
    </row>
    <row r="123" spans="1:21" ht="15">
      <c r="A123" s="154" t="s">
        <v>179</v>
      </c>
      <c r="B123" s="149"/>
      <c r="C123" s="150">
        <f>9.7*B123</f>
        <v>0</v>
      </c>
      <c r="D123" s="150">
        <f>1.5*B123</f>
        <v>0</v>
      </c>
      <c r="E123" s="153">
        <f>0.3*B123</f>
        <v>0</v>
      </c>
      <c r="F123" s="78">
        <f>0.3*B123</f>
        <v>0</v>
      </c>
      <c r="G123" s="80">
        <v>0</v>
      </c>
      <c r="H123" s="80">
        <f>0.7*B123</f>
        <v>0</v>
      </c>
      <c r="I123" s="79"/>
      <c r="J123" s="79"/>
      <c r="K123" s="82">
        <v>53.6</v>
      </c>
      <c r="L123" s="93"/>
      <c r="M123" s="94">
        <f t="shared" si="39"/>
        <v>0</v>
      </c>
      <c r="N123" s="85"/>
      <c r="O123" s="88">
        <f t="shared" si="40"/>
        <v>0</v>
      </c>
      <c r="P123" s="93"/>
      <c r="Q123" s="94">
        <f t="shared" si="41"/>
        <v>0</v>
      </c>
      <c r="R123" s="87"/>
      <c r="S123" s="88">
        <f>R123*K121</f>
        <v>0</v>
      </c>
      <c r="T123" s="93"/>
      <c r="U123" s="94">
        <f t="shared" si="42"/>
        <v>0</v>
      </c>
    </row>
    <row r="124" spans="1:21" ht="15">
      <c r="A124" s="154" t="s">
        <v>180</v>
      </c>
      <c r="B124" s="149"/>
      <c r="C124" s="150">
        <f>9*B124</f>
        <v>0</v>
      </c>
      <c r="D124" s="150">
        <f>1.1*B124</f>
        <v>0</v>
      </c>
      <c r="E124" s="153">
        <f>0.2*B124</f>
        <v>0</v>
      </c>
      <c r="F124" s="78">
        <f>0.2*B124</f>
        <v>0</v>
      </c>
      <c r="G124" s="80">
        <v>0</v>
      </c>
      <c r="H124" s="80">
        <f>0.4*B124</f>
        <v>0</v>
      </c>
      <c r="I124" s="79"/>
      <c r="J124" s="79"/>
      <c r="K124" s="82">
        <v>49</v>
      </c>
      <c r="L124" s="93"/>
      <c r="M124" s="94">
        <f t="shared" si="39"/>
        <v>0</v>
      </c>
      <c r="N124" s="85"/>
      <c r="O124" s="88">
        <f t="shared" si="40"/>
        <v>0</v>
      </c>
      <c r="P124" s="93"/>
      <c r="Q124" s="94">
        <f t="shared" si="41"/>
        <v>0</v>
      </c>
      <c r="R124" s="87"/>
      <c r="S124" s="88">
        <f>R124*K122</f>
        <v>0</v>
      </c>
      <c r="T124" s="93"/>
      <c r="U124" s="94">
        <f t="shared" si="42"/>
        <v>0</v>
      </c>
    </row>
    <row r="125" spans="1:21" ht="15">
      <c r="A125" s="154" t="s">
        <v>181</v>
      </c>
      <c r="B125" s="149"/>
      <c r="C125" s="150">
        <f>6*B125</f>
        <v>0</v>
      </c>
      <c r="D125" s="150">
        <f>0.7*B125</f>
        <v>0</v>
      </c>
      <c r="E125" s="153">
        <f>0.1*B125</f>
        <v>0</v>
      </c>
      <c r="F125" s="78">
        <f>0.1*B125</f>
        <v>0</v>
      </c>
      <c r="G125" s="80">
        <v>0</v>
      </c>
      <c r="H125" s="80"/>
      <c r="I125" s="79"/>
      <c r="J125" s="79"/>
      <c r="K125" s="82">
        <v>32</v>
      </c>
      <c r="L125" s="93"/>
      <c r="M125" s="94">
        <f t="shared" si="39"/>
        <v>0</v>
      </c>
      <c r="N125" s="85"/>
      <c r="O125" s="88">
        <f t="shared" si="40"/>
        <v>0</v>
      </c>
      <c r="P125" s="93"/>
      <c r="Q125" s="94">
        <f t="shared" si="41"/>
        <v>0</v>
      </c>
      <c r="R125" s="87"/>
      <c r="S125" s="88">
        <f>R125*K123</f>
        <v>0</v>
      </c>
      <c r="T125" s="93"/>
      <c r="U125" s="94">
        <f t="shared" si="42"/>
        <v>0</v>
      </c>
    </row>
    <row r="126" spans="1:21" ht="15">
      <c r="A126" s="154" t="s">
        <v>182</v>
      </c>
      <c r="B126" s="149"/>
      <c r="C126" s="150">
        <f>5.9*B126</f>
        <v>0</v>
      </c>
      <c r="D126" s="150">
        <f>1.5*B126</f>
        <v>0</v>
      </c>
      <c r="E126" s="153">
        <f>0.27*B126</f>
        <v>0</v>
      </c>
      <c r="F126" s="78">
        <f>0.27*B126</f>
        <v>0</v>
      </c>
      <c r="G126" s="80">
        <v>0</v>
      </c>
      <c r="H126" s="80">
        <f>0.15*B126</f>
        <v>0</v>
      </c>
      <c r="I126" s="79"/>
      <c r="J126" s="79"/>
      <c r="K126" s="82">
        <v>29</v>
      </c>
      <c r="L126" s="93"/>
      <c r="M126" s="94">
        <f t="shared" si="39"/>
        <v>0</v>
      </c>
      <c r="N126" s="85"/>
      <c r="O126" s="88">
        <f t="shared" si="40"/>
        <v>0</v>
      </c>
      <c r="P126" s="93"/>
      <c r="Q126" s="94">
        <f t="shared" si="41"/>
        <v>0</v>
      </c>
      <c r="R126" s="87"/>
      <c r="S126" s="88">
        <f>R126*K123</f>
        <v>0</v>
      </c>
      <c r="T126" s="93"/>
      <c r="U126" s="94">
        <f t="shared" si="42"/>
        <v>0</v>
      </c>
    </row>
    <row r="127" spans="1:21" ht="15">
      <c r="A127" s="154" t="s">
        <v>183</v>
      </c>
      <c r="B127" s="149"/>
      <c r="C127" s="150">
        <f>5.9*B127</f>
        <v>0</v>
      </c>
      <c r="D127" s="150">
        <f>0.45*B127</f>
        <v>0</v>
      </c>
      <c r="E127" s="153">
        <f>0.3*B127</f>
        <v>0</v>
      </c>
      <c r="F127" s="78">
        <f>0.4*B127</f>
        <v>0</v>
      </c>
      <c r="G127" s="80">
        <v>0</v>
      </c>
      <c r="H127" s="80">
        <f>0.15*B127</f>
        <v>0</v>
      </c>
      <c r="I127" s="79"/>
      <c r="J127" s="79"/>
      <c r="K127" s="82">
        <v>34.3</v>
      </c>
      <c r="L127" s="93"/>
      <c r="M127" s="94">
        <f t="shared" si="39"/>
        <v>0</v>
      </c>
      <c r="N127" s="85"/>
      <c r="O127" s="88">
        <f t="shared" si="40"/>
        <v>0</v>
      </c>
      <c r="P127" s="93"/>
      <c r="Q127" s="94">
        <f t="shared" si="41"/>
        <v>0</v>
      </c>
      <c r="R127" s="87"/>
      <c r="S127" s="88">
        <f>R127*K126</f>
        <v>0</v>
      </c>
      <c r="T127" s="93"/>
      <c r="U127" s="94">
        <f t="shared" si="42"/>
        <v>0</v>
      </c>
    </row>
    <row r="128" spans="1:21" ht="15">
      <c r="A128" s="154" t="s">
        <v>184</v>
      </c>
      <c r="B128" s="149"/>
      <c r="C128" s="150">
        <f>9.9*B128</f>
        <v>0</v>
      </c>
      <c r="D128" s="150">
        <f>1.8*B128</f>
        <v>0</v>
      </c>
      <c r="E128" s="153">
        <f>0.4*B128</f>
        <v>0</v>
      </c>
      <c r="F128" s="78">
        <f>0.4*B128</f>
        <v>0</v>
      </c>
      <c r="G128" s="80">
        <v>0</v>
      </c>
      <c r="H128" s="80">
        <f>0.7*B128</f>
        <v>0</v>
      </c>
      <c r="I128" s="79"/>
      <c r="J128" s="79"/>
      <c r="K128" s="82">
        <v>57.5</v>
      </c>
      <c r="L128" s="93"/>
      <c r="M128" s="94">
        <f t="shared" si="39"/>
        <v>0</v>
      </c>
      <c r="N128" s="85"/>
      <c r="O128" s="88">
        <f t="shared" si="40"/>
        <v>0</v>
      </c>
      <c r="P128" s="93"/>
      <c r="Q128" s="94">
        <f t="shared" si="41"/>
        <v>0</v>
      </c>
      <c r="R128" s="87"/>
      <c r="S128" s="88">
        <f>R128*K127</f>
        <v>0</v>
      </c>
      <c r="T128" s="93"/>
      <c r="U128" s="94">
        <f t="shared" si="42"/>
        <v>0</v>
      </c>
    </row>
    <row r="129" spans="1:21" ht="15">
      <c r="A129" s="154" t="s">
        <v>185</v>
      </c>
      <c r="B129" s="149"/>
      <c r="C129" s="150">
        <f>17*B129/100</f>
        <v>0</v>
      </c>
      <c r="D129" s="150">
        <f>20*B129/100</f>
        <v>0</v>
      </c>
      <c r="E129" s="153">
        <f>0.4*B129/100</f>
        <v>0</v>
      </c>
      <c r="F129" s="78"/>
      <c r="G129" s="80"/>
      <c r="H129" s="80"/>
      <c r="I129" s="79"/>
      <c r="J129" s="79"/>
      <c r="K129" s="82">
        <v>250</v>
      </c>
      <c r="L129" s="93"/>
      <c r="M129" s="94">
        <f t="shared" si="39"/>
        <v>0</v>
      </c>
      <c r="N129" s="85"/>
      <c r="O129" s="88">
        <f t="shared" si="40"/>
        <v>0</v>
      </c>
      <c r="P129" s="93"/>
      <c r="Q129" s="94">
        <f t="shared" si="41"/>
        <v>0</v>
      </c>
      <c r="R129" s="87"/>
      <c r="S129" s="88"/>
      <c r="T129" s="93"/>
      <c r="U129" s="94">
        <f t="shared" si="42"/>
        <v>0</v>
      </c>
    </row>
    <row r="130" spans="1:21" ht="15">
      <c r="A130" s="154" t="s">
        <v>186</v>
      </c>
      <c r="B130" s="149"/>
      <c r="C130" s="150">
        <f>17.5*B130/100</f>
        <v>0</v>
      </c>
      <c r="D130" s="150">
        <f>4*B130/100</f>
        <v>0</v>
      </c>
      <c r="E130" s="153">
        <f>2*B130/100</f>
        <v>0</v>
      </c>
      <c r="F130" s="78">
        <f>2*B130/100</f>
        <v>0</v>
      </c>
      <c r="G130" s="80"/>
      <c r="H130" s="80">
        <f>1.5*B130/100</f>
        <v>0</v>
      </c>
      <c r="I130" s="79"/>
      <c r="J130" s="79"/>
      <c r="K130" s="82">
        <v>114</v>
      </c>
      <c r="L130" s="93"/>
      <c r="M130" s="94">
        <f t="shared" si="39"/>
        <v>0</v>
      </c>
      <c r="N130" s="85"/>
      <c r="O130" s="88">
        <f t="shared" si="40"/>
        <v>0</v>
      </c>
      <c r="P130" s="93"/>
      <c r="Q130" s="94">
        <f t="shared" si="41"/>
        <v>0</v>
      </c>
      <c r="R130" s="87"/>
      <c r="S130" s="88"/>
      <c r="T130" s="93"/>
      <c r="U130" s="94">
        <f t="shared" si="42"/>
        <v>0</v>
      </c>
    </row>
    <row r="131" spans="1:21" ht="15">
      <c r="A131" s="154" t="s">
        <v>187</v>
      </c>
      <c r="B131" s="149"/>
      <c r="C131" s="150">
        <f>8*B131/100</f>
        <v>0</v>
      </c>
      <c r="D131" s="150">
        <f>12*B131/100</f>
        <v>0</v>
      </c>
      <c r="E131" s="153">
        <f>17*B131/100</f>
        <v>0</v>
      </c>
      <c r="F131" s="113">
        <v>0</v>
      </c>
      <c r="G131" s="79">
        <v>0</v>
      </c>
      <c r="H131" s="79"/>
      <c r="I131" s="79"/>
      <c r="J131" s="79"/>
      <c r="K131" s="82">
        <v>210</v>
      </c>
      <c r="L131" s="93"/>
      <c r="M131" s="94">
        <f>K131*L131/100</f>
        <v>0</v>
      </c>
      <c r="N131" s="85"/>
      <c r="O131" s="88">
        <f>K131*N131/100</f>
        <v>0</v>
      </c>
      <c r="P131" s="93"/>
      <c r="Q131" s="94">
        <f>K131*P131/100</f>
        <v>0</v>
      </c>
      <c r="R131" s="87"/>
      <c r="S131" s="88">
        <f>K131*R131/100</f>
        <v>0</v>
      </c>
      <c r="T131" s="93"/>
      <c r="U131" s="94">
        <f>K131*T131/100</f>
        <v>0</v>
      </c>
    </row>
    <row r="132" spans="1:21" ht="15">
      <c r="A132" s="154" t="s">
        <v>188</v>
      </c>
      <c r="B132" s="149"/>
      <c r="C132" s="150">
        <f>4.2*B132</f>
        <v>0</v>
      </c>
      <c r="D132" s="150">
        <f>8.8*B132</f>
        <v>0</v>
      </c>
      <c r="E132" s="155">
        <f>0.7*B132</f>
        <v>0</v>
      </c>
      <c r="F132" s="113"/>
      <c r="G132" s="79"/>
      <c r="H132" s="79"/>
      <c r="I132" s="79"/>
      <c r="J132" s="79"/>
      <c r="K132" s="82">
        <v>98</v>
      </c>
      <c r="L132" s="93"/>
      <c r="M132" s="94">
        <f>K132*L132</f>
        <v>0</v>
      </c>
      <c r="N132" s="85"/>
      <c r="O132" s="88">
        <f>N132*K132</f>
        <v>0</v>
      </c>
      <c r="P132" s="93"/>
      <c r="Q132" s="94">
        <f aca="true" t="shared" si="43" ref="Q132:Q141">P132*K132</f>
        <v>0</v>
      </c>
      <c r="R132" s="87"/>
      <c r="S132" s="88">
        <f>R132*K132</f>
        <v>0</v>
      </c>
      <c r="T132" s="93"/>
      <c r="U132" s="94">
        <f aca="true" t="shared" si="44" ref="U132:U141">T132*K132</f>
        <v>0</v>
      </c>
    </row>
    <row r="133" spans="1:21" ht="15">
      <c r="A133" s="156" t="s">
        <v>189</v>
      </c>
      <c r="B133" s="149"/>
      <c r="C133" s="150">
        <f>20.1*B133</f>
        <v>0</v>
      </c>
      <c r="D133" s="150">
        <f>21.7*B133</f>
        <v>0</v>
      </c>
      <c r="E133" s="155">
        <f>1.1*B133</f>
        <v>0</v>
      </c>
      <c r="F133" s="78"/>
      <c r="G133" s="80"/>
      <c r="H133" s="80"/>
      <c r="I133" s="81"/>
      <c r="J133" s="81"/>
      <c r="K133" s="82">
        <v>280</v>
      </c>
      <c r="L133" s="93"/>
      <c r="M133" s="94">
        <f>L133*K133</f>
        <v>0</v>
      </c>
      <c r="N133" s="85"/>
      <c r="O133" s="88">
        <f>N133*L133</f>
        <v>0</v>
      </c>
      <c r="P133" s="93"/>
      <c r="Q133" s="94">
        <f t="shared" si="43"/>
        <v>0</v>
      </c>
      <c r="R133" s="87"/>
      <c r="S133" s="88">
        <f>R133*K133</f>
        <v>0</v>
      </c>
      <c r="T133" s="93"/>
      <c r="U133" s="94">
        <f t="shared" si="44"/>
        <v>0</v>
      </c>
    </row>
    <row r="134" spans="1:21" ht="15">
      <c r="A134" s="156" t="s">
        <v>190</v>
      </c>
      <c r="B134" s="149"/>
      <c r="C134" s="150">
        <f>1.5*B134</f>
        <v>0</v>
      </c>
      <c r="D134" s="150">
        <f>0.9*B134</f>
        <v>0</v>
      </c>
      <c r="E134" s="155">
        <f>1.9*B134</f>
        <v>0</v>
      </c>
      <c r="F134" s="78">
        <f>0.4*B134</f>
        <v>0</v>
      </c>
      <c r="G134" s="80">
        <f>1.5*B134</f>
        <v>0</v>
      </c>
      <c r="H134" s="80">
        <f>0.1*B134</f>
        <v>0</v>
      </c>
      <c r="I134" s="79"/>
      <c r="J134" s="79"/>
      <c r="K134" s="82">
        <v>22</v>
      </c>
      <c r="L134" s="93"/>
      <c r="M134" s="94">
        <f>L134*K134</f>
        <v>0</v>
      </c>
      <c r="N134" s="85"/>
      <c r="O134" s="88">
        <f>N134*L134</f>
        <v>0</v>
      </c>
      <c r="P134" s="93"/>
      <c r="Q134" s="94">
        <f t="shared" si="43"/>
        <v>0</v>
      </c>
      <c r="R134" s="87"/>
      <c r="S134" s="88">
        <f>R134*K134</f>
        <v>0</v>
      </c>
      <c r="T134" s="93"/>
      <c r="U134" s="94">
        <f t="shared" si="44"/>
        <v>0</v>
      </c>
    </row>
    <row r="135" spans="1:21" ht="15">
      <c r="A135" s="156" t="s">
        <v>191</v>
      </c>
      <c r="B135" s="149"/>
      <c r="C135" s="150">
        <f>20*B135/100</f>
        <v>0</v>
      </c>
      <c r="D135" s="150">
        <f>11.7*B135/100</f>
        <v>0</v>
      </c>
      <c r="E135" s="155">
        <f>0.1*B135/100</f>
        <v>0</v>
      </c>
      <c r="F135" s="78"/>
      <c r="G135" s="80"/>
      <c r="H135" s="80"/>
      <c r="I135" s="79"/>
      <c r="J135" s="79"/>
      <c r="K135" s="82">
        <v>190</v>
      </c>
      <c r="L135" s="93"/>
      <c r="M135" s="94"/>
      <c r="N135" s="85"/>
      <c r="O135" s="88"/>
      <c r="P135" s="93"/>
      <c r="Q135" s="94">
        <f t="shared" si="43"/>
        <v>0</v>
      </c>
      <c r="R135" s="87"/>
      <c r="S135" s="88"/>
      <c r="T135" s="93"/>
      <c r="U135" s="94">
        <f t="shared" si="44"/>
        <v>0</v>
      </c>
    </row>
    <row r="136" spans="1:21" ht="15">
      <c r="A136" s="156" t="s">
        <v>192</v>
      </c>
      <c r="B136" s="149"/>
      <c r="C136" s="150">
        <f>3.66*B136</f>
        <v>0</v>
      </c>
      <c r="D136" s="150">
        <f>2.59*B136</f>
        <v>0</v>
      </c>
      <c r="E136" s="155">
        <f>5.18*B136</f>
        <v>0</v>
      </c>
      <c r="F136" s="78"/>
      <c r="G136" s="80"/>
      <c r="H136" s="80"/>
      <c r="I136" s="79"/>
      <c r="J136" s="79"/>
      <c r="K136" s="82">
        <v>58</v>
      </c>
      <c r="L136" s="93"/>
      <c r="M136" s="94">
        <f aca="true" t="shared" si="45" ref="M136:M141">L136*K136</f>
        <v>0</v>
      </c>
      <c r="N136" s="85"/>
      <c r="O136" s="88">
        <f>N136*L136</f>
        <v>0</v>
      </c>
      <c r="P136" s="93"/>
      <c r="Q136" s="94">
        <f t="shared" si="43"/>
        <v>0</v>
      </c>
      <c r="R136" s="87"/>
      <c r="S136" s="88">
        <f aca="true" t="shared" si="46" ref="S136:S141">R136*K136</f>
        <v>0</v>
      </c>
      <c r="T136" s="93"/>
      <c r="U136" s="94">
        <f t="shared" si="44"/>
        <v>0</v>
      </c>
    </row>
    <row r="137" spans="1:21" ht="15">
      <c r="A137" s="156" t="s">
        <v>193</v>
      </c>
      <c r="B137" s="149"/>
      <c r="C137" s="150">
        <f>3.9*B137</f>
        <v>0</v>
      </c>
      <c r="D137" s="150">
        <f>2.34*B137</f>
        <v>0</v>
      </c>
      <c r="E137" s="155">
        <f>5.7*B137</f>
        <v>0</v>
      </c>
      <c r="F137" s="78"/>
      <c r="G137" s="80"/>
      <c r="H137" s="80"/>
      <c r="I137" s="79"/>
      <c r="J137" s="79"/>
      <c r="K137" s="82">
        <v>59.4</v>
      </c>
      <c r="L137" s="93"/>
      <c r="M137" s="94">
        <f t="shared" si="45"/>
        <v>0</v>
      </c>
      <c r="N137" s="85"/>
      <c r="O137" s="88">
        <f>N137*L137</f>
        <v>0</v>
      </c>
      <c r="P137" s="93"/>
      <c r="Q137" s="94">
        <f t="shared" si="43"/>
        <v>0</v>
      </c>
      <c r="R137" s="87"/>
      <c r="S137" s="88">
        <f t="shared" si="46"/>
        <v>0</v>
      </c>
      <c r="T137" s="93"/>
      <c r="U137" s="94">
        <f t="shared" si="44"/>
        <v>0</v>
      </c>
    </row>
    <row r="138" spans="1:21" ht="15">
      <c r="A138" s="156" t="s">
        <v>194</v>
      </c>
      <c r="B138" s="149"/>
      <c r="C138" s="150">
        <f>6.45*B138</f>
        <v>0</v>
      </c>
      <c r="D138" s="150">
        <f>3.3*B138</f>
        <v>0</v>
      </c>
      <c r="E138" s="155">
        <f>7.5*B138</f>
        <v>0</v>
      </c>
      <c r="F138" s="78"/>
      <c r="G138" s="80"/>
      <c r="H138" s="80"/>
      <c r="I138" s="79"/>
      <c r="J138" s="79"/>
      <c r="K138" s="82">
        <v>85.5</v>
      </c>
      <c r="L138" s="93"/>
      <c r="M138" s="94">
        <f t="shared" si="45"/>
        <v>0</v>
      </c>
      <c r="N138" s="85"/>
      <c r="O138" s="88">
        <f>N138*L138</f>
        <v>0</v>
      </c>
      <c r="P138" s="93"/>
      <c r="Q138" s="94">
        <f t="shared" si="43"/>
        <v>0</v>
      </c>
      <c r="R138" s="87"/>
      <c r="S138" s="88">
        <f t="shared" si="46"/>
        <v>0</v>
      </c>
      <c r="T138" s="93"/>
      <c r="U138" s="94">
        <f t="shared" si="44"/>
        <v>0</v>
      </c>
    </row>
    <row r="139" spans="1:21" ht="15">
      <c r="A139" s="156" t="s">
        <v>195</v>
      </c>
      <c r="B139" s="149"/>
      <c r="C139" s="150">
        <f>2.53*B139</f>
        <v>0</v>
      </c>
      <c r="D139" s="150">
        <f>1.72*B139</f>
        <v>0</v>
      </c>
      <c r="E139" s="155">
        <f>4.37*B139</f>
        <v>0</v>
      </c>
      <c r="F139" s="78"/>
      <c r="G139" s="80"/>
      <c r="H139" s="80"/>
      <c r="I139" s="79"/>
      <c r="J139" s="79"/>
      <c r="K139" s="82">
        <v>43.7</v>
      </c>
      <c r="L139" s="93"/>
      <c r="M139" s="94">
        <f t="shared" si="45"/>
        <v>0</v>
      </c>
      <c r="N139" s="85"/>
      <c r="O139" s="88">
        <f>N139*L139</f>
        <v>0</v>
      </c>
      <c r="P139" s="93"/>
      <c r="Q139" s="94">
        <f t="shared" si="43"/>
        <v>0</v>
      </c>
      <c r="R139" s="87"/>
      <c r="S139" s="88">
        <f t="shared" si="46"/>
        <v>0</v>
      </c>
      <c r="T139" s="93"/>
      <c r="U139" s="94">
        <f t="shared" si="44"/>
        <v>0</v>
      </c>
    </row>
    <row r="140" spans="1:21" ht="15">
      <c r="A140" s="156" t="s">
        <v>196</v>
      </c>
      <c r="B140" s="157"/>
      <c r="C140" s="150">
        <f>15.6*B140</f>
        <v>0</v>
      </c>
      <c r="D140" s="158">
        <f>8.6*B140</f>
        <v>0</v>
      </c>
      <c r="E140" s="159">
        <f>10.6*B140</f>
        <v>0</v>
      </c>
      <c r="F140" s="78"/>
      <c r="G140" s="80"/>
      <c r="H140" s="80"/>
      <c r="I140" s="81"/>
      <c r="J140" s="81"/>
      <c r="K140" s="82">
        <v>182</v>
      </c>
      <c r="L140" s="93"/>
      <c r="M140" s="94">
        <f t="shared" si="45"/>
        <v>0</v>
      </c>
      <c r="N140" s="85"/>
      <c r="O140" s="88">
        <f>N140*K140</f>
        <v>0</v>
      </c>
      <c r="P140" s="93"/>
      <c r="Q140" s="94">
        <f t="shared" si="43"/>
        <v>0</v>
      </c>
      <c r="R140" s="87"/>
      <c r="S140" s="88">
        <f t="shared" si="46"/>
        <v>0</v>
      </c>
      <c r="T140" s="93"/>
      <c r="U140" s="94">
        <f t="shared" si="44"/>
        <v>0</v>
      </c>
    </row>
    <row r="141" spans="1:21" ht="15">
      <c r="A141" s="156" t="s">
        <v>197</v>
      </c>
      <c r="B141" s="157"/>
      <c r="C141" s="150">
        <f>2.1*B141</f>
        <v>0</v>
      </c>
      <c r="D141" s="158">
        <f>2.06*B141</f>
        <v>0</v>
      </c>
      <c r="E141" s="159">
        <f>4*B141</f>
        <v>0</v>
      </c>
      <c r="F141" s="78"/>
      <c r="G141" s="80"/>
      <c r="H141" s="80"/>
      <c r="I141" s="81"/>
      <c r="J141" s="81"/>
      <c r="K141" s="82">
        <v>38</v>
      </c>
      <c r="L141" s="93"/>
      <c r="M141" s="94">
        <f t="shared" si="45"/>
        <v>0</v>
      </c>
      <c r="N141" s="85"/>
      <c r="O141" s="88">
        <f>N141*K141</f>
        <v>0</v>
      </c>
      <c r="P141" s="93"/>
      <c r="Q141" s="94">
        <f t="shared" si="43"/>
        <v>0</v>
      </c>
      <c r="R141" s="87"/>
      <c r="S141" s="88">
        <f t="shared" si="46"/>
        <v>0</v>
      </c>
      <c r="T141" s="93"/>
      <c r="U141" s="94">
        <f t="shared" si="44"/>
        <v>0</v>
      </c>
    </row>
    <row r="142" spans="1:21" ht="15">
      <c r="A142" s="156" t="s">
        <v>198</v>
      </c>
      <c r="B142" s="149"/>
      <c r="C142" s="150">
        <f>14.3*B142/100</f>
        <v>0</v>
      </c>
      <c r="D142" s="150">
        <f>29*B142/100</f>
        <v>0</v>
      </c>
      <c r="E142" s="155">
        <f>2.4*B142/100</f>
        <v>0</v>
      </c>
      <c r="F142" s="78">
        <f>1.5*B142/100</f>
        <v>0</v>
      </c>
      <c r="G142" s="80"/>
      <c r="H142" s="80">
        <f>11*B142/100</f>
        <v>0</v>
      </c>
      <c r="I142" s="81">
        <f>15*B142/100</f>
        <v>0</v>
      </c>
      <c r="J142" s="81">
        <f>5.7*B142/100</f>
        <v>0</v>
      </c>
      <c r="K142" s="82">
        <v>327.8</v>
      </c>
      <c r="L142" s="93"/>
      <c r="M142" s="94">
        <f>L142*K142/100</f>
        <v>0</v>
      </c>
      <c r="N142" s="85"/>
      <c r="O142" s="88">
        <f>N142*K142/100</f>
        <v>0</v>
      </c>
      <c r="P142" s="93"/>
      <c r="Q142" s="94">
        <f>P142*K142/100</f>
        <v>0</v>
      </c>
      <c r="R142" s="87"/>
      <c r="S142" s="88">
        <f>R142*K142/100</f>
        <v>0</v>
      </c>
      <c r="T142" s="93"/>
      <c r="U142" s="94">
        <f>T142*K142/100</f>
        <v>0</v>
      </c>
    </row>
    <row r="143" spans="1:21" ht="15">
      <c r="A143" s="156" t="s">
        <v>199</v>
      </c>
      <c r="B143" s="149"/>
      <c r="C143" s="150">
        <f>14.5*B143/100</f>
        <v>0</v>
      </c>
      <c r="D143" s="150">
        <f>41.9*B143/100</f>
        <v>0</v>
      </c>
      <c r="E143" s="155">
        <f>0.1*B143/100</f>
        <v>0</v>
      </c>
      <c r="F143" s="78">
        <f>0.1*B143/100</f>
        <v>0</v>
      </c>
      <c r="G143" s="80"/>
      <c r="H143" s="80">
        <f>16*B143/100</f>
        <v>0</v>
      </c>
      <c r="I143" s="81">
        <f>8*B143/100</f>
        <v>0</v>
      </c>
      <c r="J143" s="81">
        <f>1*B143/100</f>
        <v>0</v>
      </c>
      <c r="K143" s="82">
        <v>435.5</v>
      </c>
      <c r="L143" s="93"/>
      <c r="M143" s="94">
        <f>L143*K143/100</f>
        <v>0</v>
      </c>
      <c r="N143" s="85"/>
      <c r="O143" s="88">
        <f>N143*K143/100</f>
        <v>0</v>
      </c>
      <c r="P143" s="93"/>
      <c r="Q143" s="94">
        <f>P143*K143/100</f>
        <v>0</v>
      </c>
      <c r="R143" s="87"/>
      <c r="S143" s="88">
        <f>R143*K143/100</f>
        <v>0</v>
      </c>
      <c r="T143" s="93"/>
      <c r="U143" s="94">
        <f>T143*K143/100</f>
        <v>0</v>
      </c>
    </row>
    <row r="144" spans="1:21" ht="15">
      <c r="A144" s="156" t="s">
        <v>200</v>
      </c>
      <c r="B144" s="149"/>
      <c r="C144" s="150">
        <f>26.3*B144/100</f>
        <v>0</v>
      </c>
      <c r="D144" s="150">
        <f>35*B144/100</f>
        <v>0</v>
      </c>
      <c r="E144" s="155">
        <f>1.6*B144/100</f>
        <v>0</v>
      </c>
      <c r="F144" s="78">
        <f>0.1*B144/100</f>
        <v>0</v>
      </c>
      <c r="G144" s="80"/>
      <c r="H144" s="80">
        <f>12.9*B144/100</f>
        <v>0</v>
      </c>
      <c r="I144" s="81">
        <f>11*B144/100</f>
        <v>0</v>
      </c>
      <c r="J144" s="81">
        <f>1.3*B144/100</f>
        <v>0</v>
      </c>
      <c r="K144" s="82">
        <v>426.6</v>
      </c>
      <c r="L144" s="93"/>
      <c r="M144" s="94">
        <f>L144*K144/100</f>
        <v>0</v>
      </c>
      <c r="N144" s="85"/>
      <c r="O144" s="88">
        <f>N144*K144/100</f>
        <v>0</v>
      </c>
      <c r="P144" s="93"/>
      <c r="Q144" s="94">
        <f>P144*K144/100</f>
        <v>0</v>
      </c>
      <c r="R144" s="87"/>
      <c r="S144" s="88">
        <f>R144*K144/100</f>
        <v>0</v>
      </c>
      <c r="T144" s="93"/>
      <c r="U144" s="94">
        <f>T144*K144/100</f>
        <v>0</v>
      </c>
    </row>
    <row r="145" spans="1:21" ht="15">
      <c r="A145" s="160" t="s">
        <v>201</v>
      </c>
      <c r="B145" s="149"/>
      <c r="C145" s="150">
        <f>8.7*B145</f>
        <v>0</v>
      </c>
      <c r="D145" s="150">
        <f>12.2*B145</f>
        <v>0</v>
      </c>
      <c r="E145" s="155">
        <f>20.7*B145</f>
        <v>0</v>
      </c>
      <c r="F145" s="113"/>
      <c r="G145" s="79"/>
      <c r="H145" s="79"/>
      <c r="I145" s="79"/>
      <c r="J145" s="79"/>
      <c r="K145" s="82">
        <v>227</v>
      </c>
      <c r="L145" s="93"/>
      <c r="M145" s="94">
        <f>K145*L145</f>
        <v>0</v>
      </c>
      <c r="N145" s="85"/>
      <c r="O145" s="88">
        <f aca="true" t="shared" si="47" ref="O145:O151">N145*K145</f>
        <v>0</v>
      </c>
      <c r="P145" s="93"/>
      <c r="Q145" s="94">
        <f aca="true" t="shared" si="48" ref="Q145:Q151">P145*K145</f>
        <v>0</v>
      </c>
      <c r="R145" s="87"/>
      <c r="S145" s="88">
        <f aca="true" t="shared" si="49" ref="S145:S151">R145*K145</f>
        <v>0</v>
      </c>
      <c r="T145" s="93"/>
      <c r="U145" s="94">
        <f>T145*K145</f>
        <v>0</v>
      </c>
    </row>
    <row r="146" spans="1:21" ht="15">
      <c r="A146" s="156" t="s">
        <v>202</v>
      </c>
      <c r="B146" s="149"/>
      <c r="C146" s="150">
        <f>19.8*B146</f>
        <v>0</v>
      </c>
      <c r="D146" s="150">
        <f>14.1*B146</f>
        <v>0</v>
      </c>
      <c r="E146" s="155">
        <f>19.8*B146</f>
        <v>0</v>
      </c>
      <c r="F146" s="113"/>
      <c r="G146" s="79"/>
      <c r="H146" s="79"/>
      <c r="I146" s="79"/>
      <c r="J146" s="79"/>
      <c r="K146" s="82">
        <v>286</v>
      </c>
      <c r="L146" s="93"/>
      <c r="M146" s="94">
        <f aca="true" t="shared" si="50" ref="M146:M151">L146*K146</f>
        <v>0</v>
      </c>
      <c r="N146" s="85"/>
      <c r="O146" s="88">
        <f t="shared" si="47"/>
        <v>0</v>
      </c>
      <c r="P146" s="93"/>
      <c r="Q146" s="94">
        <f t="shared" si="48"/>
        <v>0</v>
      </c>
      <c r="R146" s="87"/>
      <c r="S146" s="88">
        <f t="shared" si="49"/>
        <v>0</v>
      </c>
      <c r="T146" s="93"/>
      <c r="U146" s="94">
        <f aca="true" t="shared" si="51" ref="U146:U151">K146*T146</f>
        <v>0</v>
      </c>
    </row>
    <row r="147" spans="1:21" ht="15">
      <c r="A147" s="156" t="s">
        <v>203</v>
      </c>
      <c r="B147" s="149"/>
      <c r="C147" s="150">
        <f>20.9*B147</f>
        <v>0</v>
      </c>
      <c r="D147" s="150">
        <f>16.5*B147</f>
        <v>0</v>
      </c>
      <c r="E147" s="155">
        <f>21.6*B147</f>
        <v>0</v>
      </c>
      <c r="F147" s="113"/>
      <c r="G147" s="79"/>
      <c r="H147" s="79"/>
      <c r="I147" s="79"/>
      <c r="J147" s="79"/>
      <c r="K147" s="82">
        <v>318</v>
      </c>
      <c r="L147" s="93"/>
      <c r="M147" s="94">
        <f t="shared" si="50"/>
        <v>0</v>
      </c>
      <c r="N147" s="85"/>
      <c r="O147" s="88">
        <f t="shared" si="47"/>
        <v>0</v>
      </c>
      <c r="P147" s="93"/>
      <c r="Q147" s="94">
        <f t="shared" si="48"/>
        <v>0</v>
      </c>
      <c r="R147" s="87"/>
      <c r="S147" s="88">
        <f t="shared" si="49"/>
        <v>0</v>
      </c>
      <c r="T147" s="93"/>
      <c r="U147" s="94">
        <f t="shared" si="51"/>
        <v>0</v>
      </c>
    </row>
    <row r="148" spans="1:21" ht="15">
      <c r="A148" s="156" t="s">
        <v>204</v>
      </c>
      <c r="B148" s="149"/>
      <c r="C148" s="150">
        <f>18.7*B148</f>
        <v>0</v>
      </c>
      <c r="D148" s="150">
        <f>4*B148</f>
        <v>0</v>
      </c>
      <c r="E148" s="155">
        <f>19.5*B148</f>
        <v>0</v>
      </c>
      <c r="F148" s="113"/>
      <c r="G148" s="79"/>
      <c r="H148" s="79"/>
      <c r="I148" s="79"/>
      <c r="J148" s="79"/>
      <c r="K148" s="82">
        <v>189</v>
      </c>
      <c r="L148" s="93"/>
      <c r="M148" s="94">
        <f t="shared" si="50"/>
        <v>0</v>
      </c>
      <c r="N148" s="85"/>
      <c r="O148" s="88">
        <f t="shared" si="47"/>
        <v>0</v>
      </c>
      <c r="P148" s="93"/>
      <c r="Q148" s="94">
        <f t="shared" si="48"/>
        <v>0</v>
      </c>
      <c r="R148" s="87"/>
      <c r="S148" s="88">
        <f t="shared" si="49"/>
        <v>0</v>
      </c>
      <c r="T148" s="93"/>
      <c r="U148" s="94">
        <f t="shared" si="51"/>
        <v>0</v>
      </c>
    </row>
    <row r="149" spans="1:21" ht="15">
      <c r="A149" s="156" t="s">
        <v>205</v>
      </c>
      <c r="B149" s="149"/>
      <c r="C149" s="150">
        <f>18.3*B149</f>
        <v>0</v>
      </c>
      <c r="D149" s="150">
        <f>23.9*B149</f>
        <v>0</v>
      </c>
      <c r="E149" s="155">
        <f>12.3*B149</f>
        <v>0</v>
      </c>
      <c r="F149" s="113"/>
      <c r="G149" s="79"/>
      <c r="H149" s="79"/>
      <c r="I149" s="79"/>
      <c r="J149" s="79"/>
      <c r="K149" s="82">
        <v>338</v>
      </c>
      <c r="L149" s="93"/>
      <c r="M149" s="94">
        <f t="shared" si="50"/>
        <v>0</v>
      </c>
      <c r="N149" s="85"/>
      <c r="O149" s="88">
        <f t="shared" si="47"/>
        <v>0</v>
      </c>
      <c r="P149" s="93"/>
      <c r="Q149" s="94">
        <f t="shared" si="48"/>
        <v>0</v>
      </c>
      <c r="R149" s="87"/>
      <c r="S149" s="88">
        <f t="shared" si="49"/>
        <v>0</v>
      </c>
      <c r="T149" s="93"/>
      <c r="U149" s="94">
        <f t="shared" si="51"/>
        <v>0</v>
      </c>
    </row>
    <row r="150" spans="1:21" ht="15">
      <c r="A150" s="156" t="s">
        <v>206</v>
      </c>
      <c r="B150" s="149"/>
      <c r="C150" s="150">
        <f>21.7*B150</f>
        <v>0</v>
      </c>
      <c r="D150" s="150">
        <f>14.3*B150</f>
        <v>0</v>
      </c>
      <c r="E150" s="155">
        <f>31.5*B150</f>
        <v>0</v>
      </c>
      <c r="F150" s="113"/>
      <c r="G150" s="79"/>
      <c r="H150" s="79"/>
      <c r="I150" s="79"/>
      <c r="J150" s="79"/>
      <c r="K150" s="82">
        <v>341</v>
      </c>
      <c r="L150" s="93"/>
      <c r="M150" s="94">
        <f t="shared" si="50"/>
        <v>0</v>
      </c>
      <c r="N150" s="85"/>
      <c r="O150" s="88">
        <f t="shared" si="47"/>
        <v>0</v>
      </c>
      <c r="P150" s="93"/>
      <c r="Q150" s="94">
        <f t="shared" si="48"/>
        <v>0</v>
      </c>
      <c r="R150" s="87"/>
      <c r="S150" s="88">
        <f t="shared" si="49"/>
        <v>0</v>
      </c>
      <c r="T150" s="93"/>
      <c r="U150" s="94">
        <f t="shared" si="51"/>
        <v>0</v>
      </c>
    </row>
    <row r="151" spans="1:21" ht="15">
      <c r="A151" s="156" t="s">
        <v>207</v>
      </c>
      <c r="B151" s="149"/>
      <c r="C151" s="150">
        <f>20.3*B151</f>
        <v>0</v>
      </c>
      <c r="D151" s="150">
        <f>14.2*B151</f>
        <v>0</v>
      </c>
      <c r="E151" s="155">
        <f>25.6*B151</f>
        <v>0</v>
      </c>
      <c r="F151" s="113"/>
      <c r="G151" s="79"/>
      <c r="H151" s="79"/>
      <c r="I151" s="79"/>
      <c r="J151" s="79"/>
      <c r="K151" s="82">
        <v>312</v>
      </c>
      <c r="L151" s="93"/>
      <c r="M151" s="94">
        <f t="shared" si="50"/>
        <v>0</v>
      </c>
      <c r="N151" s="85"/>
      <c r="O151" s="88">
        <f t="shared" si="47"/>
        <v>0</v>
      </c>
      <c r="P151" s="93"/>
      <c r="Q151" s="94">
        <f t="shared" si="48"/>
        <v>0</v>
      </c>
      <c r="R151" s="87"/>
      <c r="S151" s="88">
        <f t="shared" si="49"/>
        <v>0</v>
      </c>
      <c r="T151" s="93"/>
      <c r="U151" s="94">
        <f t="shared" si="51"/>
        <v>0</v>
      </c>
    </row>
    <row r="152" spans="1:21" ht="15">
      <c r="A152" s="129" t="s">
        <v>208</v>
      </c>
      <c r="B152" s="161"/>
      <c r="C152" s="162"/>
      <c r="D152" s="162"/>
      <c r="E152" s="163"/>
      <c r="F152" s="113"/>
      <c r="G152" s="79"/>
      <c r="H152" s="79"/>
      <c r="I152" s="79"/>
      <c r="J152" s="79"/>
      <c r="K152" s="133"/>
      <c r="L152" s="134"/>
      <c r="M152" s="135"/>
      <c r="N152" s="136"/>
      <c r="O152" s="137"/>
      <c r="P152" s="134"/>
      <c r="Q152" s="135"/>
      <c r="R152" s="164"/>
      <c r="S152" s="137"/>
      <c r="T152" s="134"/>
      <c r="U152" s="135"/>
    </row>
    <row r="153" spans="1:21" ht="15">
      <c r="A153" s="165" t="s">
        <v>208</v>
      </c>
      <c r="B153" s="157">
        <v>200</v>
      </c>
      <c r="C153" s="166">
        <f>2*B153/100</f>
        <v>4</v>
      </c>
      <c r="D153" s="167"/>
      <c r="E153" s="168">
        <f>20*B153/100</f>
        <v>40</v>
      </c>
      <c r="F153" s="113"/>
      <c r="G153" s="80">
        <f>20*B153/100</f>
        <v>40</v>
      </c>
      <c r="H153" s="79"/>
      <c r="I153" s="81"/>
      <c r="J153" s="81">
        <f>0.3*B153/100</f>
        <v>0.6</v>
      </c>
      <c r="K153" s="82">
        <v>88</v>
      </c>
      <c r="L153" s="93"/>
      <c r="M153" s="94">
        <f>K153*L153/100</f>
        <v>0</v>
      </c>
      <c r="N153" s="85"/>
      <c r="O153" s="88">
        <f>N153*K153/100</f>
        <v>0</v>
      </c>
      <c r="P153" s="93"/>
      <c r="Q153" s="94">
        <f>K153*P153/100</f>
        <v>0</v>
      </c>
      <c r="R153" s="87"/>
      <c r="S153" s="88">
        <f>R153*K153/100</f>
        <v>0</v>
      </c>
      <c r="T153" s="93"/>
      <c r="U153" s="94">
        <f>88*T153/100</f>
        <v>0</v>
      </c>
    </row>
    <row r="154" spans="1:21" ht="15">
      <c r="A154" s="169" t="s">
        <v>209</v>
      </c>
      <c r="B154" s="157"/>
      <c r="C154" s="166">
        <f>2.15*B154/100</f>
        <v>0</v>
      </c>
      <c r="D154" s="170">
        <f>0.6*B154/100</f>
        <v>0</v>
      </c>
      <c r="E154" s="168">
        <f>13.1*B154/100</f>
        <v>0</v>
      </c>
      <c r="F154" s="78">
        <f>1.9*B154/100</f>
        <v>0</v>
      </c>
      <c r="G154" s="80">
        <f>11.2*B154/100</f>
        <v>0</v>
      </c>
      <c r="H154" s="80">
        <f>0.4*B154/100</f>
        <v>0</v>
      </c>
      <c r="I154" s="79"/>
      <c r="J154" s="79"/>
      <c r="K154" s="82">
        <v>67</v>
      </c>
      <c r="L154" s="93"/>
      <c r="M154" s="94">
        <f>K154*L154/100</f>
        <v>0</v>
      </c>
      <c r="N154" s="85"/>
      <c r="O154" s="88">
        <f>N154*K154/100</f>
        <v>0</v>
      </c>
      <c r="P154" s="93"/>
      <c r="Q154" s="94">
        <f>K154*P154/100</f>
        <v>0</v>
      </c>
      <c r="R154" s="87"/>
      <c r="S154" s="88">
        <f>R154*K154/100</f>
        <v>0</v>
      </c>
      <c r="T154" s="93"/>
      <c r="U154" s="94">
        <f>88*T154/100</f>
        <v>0</v>
      </c>
    </row>
    <row r="155" spans="1:21" ht="15">
      <c r="A155" s="171" t="s">
        <v>210</v>
      </c>
      <c r="B155" s="157"/>
      <c r="C155" s="166">
        <f>12.34*B155/100</f>
        <v>0</v>
      </c>
      <c r="D155" s="170">
        <f>11.74*B155/100</f>
        <v>0</v>
      </c>
      <c r="E155" s="168">
        <f>30.33*B155/100</f>
        <v>0</v>
      </c>
      <c r="F155" s="78">
        <f>3.6*B155/100</f>
        <v>0</v>
      </c>
      <c r="G155" s="80">
        <f>27*B155/100</f>
        <v>0</v>
      </c>
      <c r="H155" s="80">
        <f>5*B155/100</f>
        <v>0</v>
      </c>
      <c r="I155" s="81"/>
      <c r="J155" s="81"/>
      <c r="K155" s="82">
        <v>276</v>
      </c>
      <c r="L155" s="93"/>
      <c r="M155" s="94">
        <f>K155*L155/100</f>
        <v>0</v>
      </c>
      <c r="N155" s="85"/>
      <c r="O155" s="88">
        <f>N155*K155/100</f>
        <v>0</v>
      </c>
      <c r="P155" s="93"/>
      <c r="Q155" s="94">
        <f>K155*P155/100</f>
        <v>0</v>
      </c>
      <c r="R155" s="87"/>
      <c r="S155" s="88">
        <f>R155*K155/100</f>
        <v>0</v>
      </c>
      <c r="T155" s="93"/>
      <c r="U155" s="94">
        <f>88*T155/100</f>
        <v>0</v>
      </c>
    </row>
    <row r="156" spans="1:21" ht="15">
      <c r="A156" s="171" t="s">
        <v>211</v>
      </c>
      <c r="B156" s="157"/>
      <c r="C156" s="166">
        <f>10.4*B156/100</f>
        <v>0</v>
      </c>
      <c r="D156" s="170">
        <f>6.8*B156/100</f>
        <v>0</v>
      </c>
      <c r="E156" s="168">
        <f>24.8*B156/100</f>
        <v>0</v>
      </c>
      <c r="F156" s="78"/>
      <c r="G156" s="80"/>
      <c r="H156" s="80">
        <f>1.7*B156/100</f>
        <v>0</v>
      </c>
      <c r="I156" s="81"/>
      <c r="J156" s="81"/>
      <c r="K156" s="82">
        <v>203</v>
      </c>
      <c r="L156" s="93"/>
      <c r="M156" s="94">
        <f>K156*L156/100</f>
        <v>0</v>
      </c>
      <c r="N156" s="85"/>
      <c r="O156" s="88">
        <f>N156*K156/100</f>
        <v>0</v>
      </c>
      <c r="P156" s="93"/>
      <c r="Q156" s="94">
        <f>K156*P156/100</f>
        <v>0</v>
      </c>
      <c r="R156" s="87"/>
      <c r="S156" s="88">
        <f>R156*K156/100</f>
        <v>0</v>
      </c>
      <c r="T156" s="93"/>
      <c r="U156" s="94">
        <f>88*T156/100</f>
        <v>0</v>
      </c>
    </row>
    <row r="157" spans="1:21" ht="15">
      <c r="A157" s="171" t="s">
        <v>212</v>
      </c>
      <c r="B157" s="157"/>
      <c r="C157" s="166">
        <f>3.6*B157</f>
        <v>0</v>
      </c>
      <c r="D157" s="170">
        <f>3.6*B157</f>
        <v>0</v>
      </c>
      <c r="E157" s="168">
        <f>20.8*B157</f>
        <v>0</v>
      </c>
      <c r="F157" s="78"/>
      <c r="G157" s="80"/>
      <c r="H157" s="80"/>
      <c r="I157" s="81"/>
      <c r="J157" s="81"/>
      <c r="K157" s="82">
        <v>129</v>
      </c>
      <c r="L157" s="93"/>
      <c r="M157" s="94">
        <f>K157*L157</f>
        <v>0</v>
      </c>
      <c r="N157" s="85"/>
      <c r="O157" s="88">
        <f>N157*K157</f>
        <v>0</v>
      </c>
      <c r="P157" s="93"/>
      <c r="Q157" s="94">
        <f>K157*P157</f>
        <v>0</v>
      </c>
      <c r="R157" s="87"/>
      <c r="S157" s="88">
        <f>R157*K157</f>
        <v>0</v>
      </c>
      <c r="T157" s="93"/>
      <c r="U157" s="94">
        <f>T157*K157</f>
        <v>0</v>
      </c>
    </row>
    <row r="158" spans="1:21" ht="15">
      <c r="A158" s="172" t="s">
        <v>213</v>
      </c>
      <c r="B158" s="157"/>
      <c r="C158" s="166">
        <f>8.7*B158/100</f>
        <v>0</v>
      </c>
      <c r="D158" s="170">
        <f>23.3*B158/100</f>
        <v>0</v>
      </c>
      <c r="E158" s="168">
        <f>16.4*B158/100</f>
        <v>0</v>
      </c>
      <c r="F158" s="78">
        <f>1.8*B158/100</f>
        <v>0</v>
      </c>
      <c r="G158" s="80">
        <f>14.6*B158/100</f>
        <v>0</v>
      </c>
      <c r="H158" s="80">
        <f>11.9*B158/100</f>
        <v>0</v>
      </c>
      <c r="I158" s="81">
        <f>158*B158/100</f>
        <v>0</v>
      </c>
      <c r="J158" s="81">
        <f>1*B158/100</f>
        <v>0</v>
      </c>
      <c r="K158" s="82">
        <v>309.7</v>
      </c>
      <c r="L158" s="93"/>
      <c r="M158" s="94">
        <f aca="true" t="shared" si="52" ref="M158:M163">K158*L158/100</f>
        <v>0</v>
      </c>
      <c r="N158" s="85"/>
      <c r="O158" s="88">
        <f aca="true" t="shared" si="53" ref="O158:O166">N158*K158/100</f>
        <v>0</v>
      </c>
      <c r="P158" s="93"/>
      <c r="Q158" s="94">
        <f aca="true" t="shared" si="54" ref="Q158:Q163">K158*P158/100</f>
        <v>0</v>
      </c>
      <c r="R158" s="87"/>
      <c r="S158" s="88">
        <f aca="true" t="shared" si="55" ref="S158:S163">R158*K158/100</f>
        <v>0</v>
      </c>
      <c r="T158" s="93"/>
      <c r="U158" s="94">
        <f>K158*T158/100</f>
        <v>0</v>
      </c>
    </row>
    <row r="159" spans="1:21" ht="15">
      <c r="A159" s="169" t="s">
        <v>214</v>
      </c>
      <c r="B159" s="157"/>
      <c r="C159" s="166">
        <f>4.8*B159</f>
        <v>0</v>
      </c>
      <c r="D159" s="170">
        <f>15.6*B159</f>
        <v>0</v>
      </c>
      <c r="E159" s="168">
        <f>31.25*B159</f>
        <v>0</v>
      </c>
      <c r="F159" s="78"/>
      <c r="G159" s="80"/>
      <c r="H159" s="80"/>
      <c r="I159" s="81"/>
      <c r="J159" s="81"/>
      <c r="K159" s="82">
        <v>284.6</v>
      </c>
      <c r="L159" s="93"/>
      <c r="M159" s="94">
        <f t="shared" si="52"/>
        <v>0</v>
      </c>
      <c r="N159" s="85"/>
      <c r="O159" s="88">
        <f t="shared" si="53"/>
        <v>0</v>
      </c>
      <c r="P159" s="93"/>
      <c r="Q159" s="94">
        <f t="shared" si="54"/>
        <v>0</v>
      </c>
      <c r="R159" s="87"/>
      <c r="S159" s="88">
        <f t="shared" si="55"/>
        <v>0</v>
      </c>
      <c r="T159" s="93"/>
      <c r="U159" s="94"/>
    </row>
    <row r="160" spans="1:21" ht="15">
      <c r="A160" s="171" t="s">
        <v>215</v>
      </c>
      <c r="B160" s="157"/>
      <c r="C160" s="166">
        <f>9.2*B160/100</f>
        <v>0</v>
      </c>
      <c r="D160" s="170">
        <f>16*B160/100</f>
        <v>0</v>
      </c>
      <c r="E160" s="168">
        <f>19*B160/100</f>
        <v>0</v>
      </c>
      <c r="F160" s="78"/>
      <c r="G160" s="80"/>
      <c r="H160" s="80"/>
      <c r="I160" s="81"/>
      <c r="J160" s="81"/>
      <c r="K160" s="82">
        <v>257</v>
      </c>
      <c r="L160" s="93"/>
      <c r="M160" s="94">
        <f t="shared" si="52"/>
        <v>0</v>
      </c>
      <c r="N160" s="85"/>
      <c r="O160" s="88">
        <f t="shared" si="53"/>
        <v>0</v>
      </c>
      <c r="P160" s="93"/>
      <c r="Q160" s="94">
        <f t="shared" si="54"/>
        <v>0</v>
      </c>
      <c r="R160" s="87"/>
      <c r="S160" s="88">
        <f t="shared" si="55"/>
        <v>0</v>
      </c>
      <c r="T160" s="93"/>
      <c r="U160" s="94">
        <f>K160*T160/100</f>
        <v>0</v>
      </c>
    </row>
    <row r="161" spans="1:21" ht="15">
      <c r="A161" s="171" t="s">
        <v>216</v>
      </c>
      <c r="B161" s="157"/>
      <c r="C161" s="166">
        <f>4.9*B161/100</f>
        <v>0</v>
      </c>
      <c r="D161" s="170">
        <f>13.9*B161/100</f>
        <v>0</v>
      </c>
      <c r="E161" s="168">
        <f>18.5*B161/100</f>
        <v>0</v>
      </c>
      <c r="F161" s="78"/>
      <c r="G161" s="80"/>
      <c r="H161" s="80"/>
      <c r="I161" s="81"/>
      <c r="J161" s="81"/>
      <c r="K161" s="82">
        <v>219</v>
      </c>
      <c r="L161" s="93"/>
      <c r="M161" s="94">
        <f t="shared" si="52"/>
        <v>0</v>
      </c>
      <c r="N161" s="85"/>
      <c r="O161" s="88">
        <f t="shared" si="53"/>
        <v>0</v>
      </c>
      <c r="P161" s="93"/>
      <c r="Q161" s="94">
        <f t="shared" si="54"/>
        <v>0</v>
      </c>
      <c r="R161" s="87"/>
      <c r="S161" s="88">
        <f t="shared" si="55"/>
        <v>0</v>
      </c>
      <c r="T161" s="93"/>
      <c r="U161" s="94">
        <f>K161*T161/100</f>
        <v>0</v>
      </c>
    </row>
    <row r="162" spans="1:21" ht="15">
      <c r="A162" s="171" t="s">
        <v>217</v>
      </c>
      <c r="B162" s="157"/>
      <c r="C162" s="166">
        <f>5.9*B162/100</f>
        <v>0</v>
      </c>
      <c r="D162" s="170">
        <f>18.6*B162/100</f>
        <v>0</v>
      </c>
      <c r="E162" s="168">
        <f>14*B162/100</f>
        <v>0</v>
      </c>
      <c r="F162" s="78"/>
      <c r="G162" s="80"/>
      <c r="H162" s="80"/>
      <c r="I162" s="81"/>
      <c r="J162" s="81"/>
      <c r="K162" s="82">
        <v>247</v>
      </c>
      <c r="L162" s="93"/>
      <c r="M162" s="94">
        <f t="shared" si="52"/>
        <v>0</v>
      </c>
      <c r="N162" s="85"/>
      <c r="O162" s="88">
        <f t="shared" si="53"/>
        <v>0</v>
      </c>
      <c r="P162" s="93"/>
      <c r="Q162" s="94">
        <f t="shared" si="54"/>
        <v>0</v>
      </c>
      <c r="R162" s="87"/>
      <c r="S162" s="88">
        <f t="shared" si="55"/>
        <v>0</v>
      </c>
      <c r="T162" s="93"/>
      <c r="U162" s="94">
        <f>K162*T162/100</f>
        <v>0</v>
      </c>
    </row>
    <row r="163" spans="1:21" ht="15">
      <c r="A163" s="171" t="s">
        <v>218</v>
      </c>
      <c r="B163" s="157"/>
      <c r="C163" s="166">
        <f>9.4*B163/100</f>
        <v>0</v>
      </c>
      <c r="D163" s="170">
        <f>12.8*B163/100</f>
        <v>0</v>
      </c>
      <c r="E163" s="168">
        <f>14.9*B163/100</f>
        <v>0</v>
      </c>
      <c r="F163" s="78"/>
      <c r="G163" s="80"/>
      <c r="H163" s="80"/>
      <c r="I163" s="81"/>
      <c r="J163" s="81"/>
      <c r="K163" s="82">
        <v>212</v>
      </c>
      <c r="L163" s="93"/>
      <c r="M163" s="94">
        <f t="shared" si="52"/>
        <v>0</v>
      </c>
      <c r="N163" s="85"/>
      <c r="O163" s="88">
        <f t="shared" si="53"/>
        <v>0</v>
      </c>
      <c r="P163" s="93"/>
      <c r="Q163" s="94">
        <f t="shared" si="54"/>
        <v>0</v>
      </c>
      <c r="R163" s="87"/>
      <c r="S163" s="88">
        <f t="shared" si="55"/>
        <v>0</v>
      </c>
      <c r="T163" s="93"/>
      <c r="U163" s="94">
        <f>K163*T163/100</f>
        <v>0</v>
      </c>
    </row>
    <row r="164" spans="1:21" ht="15">
      <c r="A164" s="171" t="s">
        <v>219</v>
      </c>
      <c r="B164" s="157"/>
      <c r="C164" s="166">
        <f>3.25*B164</f>
        <v>0</v>
      </c>
      <c r="D164" s="170">
        <f>3*B164</f>
        <v>0</v>
      </c>
      <c r="E164" s="168">
        <f>9.7*B164</f>
        <v>0</v>
      </c>
      <c r="F164" s="78"/>
      <c r="G164" s="80"/>
      <c r="H164" s="80"/>
      <c r="I164" s="81"/>
      <c r="J164" s="81"/>
      <c r="K164" s="82">
        <v>74.5</v>
      </c>
      <c r="L164" s="93"/>
      <c r="M164" s="94">
        <f>L164*K164</f>
        <v>0</v>
      </c>
      <c r="N164" s="85"/>
      <c r="O164" s="88">
        <f t="shared" si="53"/>
        <v>0</v>
      </c>
      <c r="P164" s="93"/>
      <c r="Q164" s="94">
        <f>P164*K164</f>
        <v>0</v>
      </c>
      <c r="R164" s="87"/>
      <c r="S164" s="88">
        <f>R164*K164</f>
        <v>0</v>
      </c>
      <c r="T164" s="93"/>
      <c r="U164" s="94">
        <f>T164*K164</f>
        <v>0</v>
      </c>
    </row>
    <row r="165" spans="1:21" ht="15">
      <c r="A165" s="171" t="s">
        <v>220</v>
      </c>
      <c r="B165" s="157"/>
      <c r="C165" s="166">
        <f>2.9*B165</f>
        <v>0</v>
      </c>
      <c r="D165" s="170">
        <f>3.3*B165</f>
        <v>0</v>
      </c>
      <c r="E165" s="168">
        <f>8.65*B165</f>
        <v>0</v>
      </c>
      <c r="F165" s="78"/>
      <c r="G165" s="80"/>
      <c r="H165" s="80"/>
      <c r="I165" s="81"/>
      <c r="J165" s="81"/>
      <c r="K165" s="82">
        <v>76</v>
      </c>
      <c r="L165" s="93"/>
      <c r="M165" s="94">
        <f>L165*K165</f>
        <v>0</v>
      </c>
      <c r="N165" s="85"/>
      <c r="O165" s="88">
        <f t="shared" si="53"/>
        <v>0</v>
      </c>
      <c r="P165" s="93"/>
      <c r="Q165" s="94">
        <f>P165*K165</f>
        <v>0</v>
      </c>
      <c r="R165" s="87"/>
      <c r="S165" s="88">
        <f>R165*K165</f>
        <v>0</v>
      </c>
      <c r="T165" s="93"/>
      <c r="U165" s="94">
        <f>T165*K165</f>
        <v>0</v>
      </c>
    </row>
    <row r="166" spans="1:21" ht="15">
      <c r="A166" s="171" t="s">
        <v>221</v>
      </c>
      <c r="B166" s="157"/>
      <c r="C166" s="166">
        <f>3.8*B166/100</f>
        <v>0</v>
      </c>
      <c r="D166" s="170">
        <f>15*B166/100</f>
        <v>0</v>
      </c>
      <c r="E166" s="168">
        <f>30*B166/100</f>
        <v>0</v>
      </c>
      <c r="F166" s="78">
        <v>0</v>
      </c>
      <c r="G166" s="80">
        <f>30*B166/100</f>
        <v>0</v>
      </c>
      <c r="H166" s="80">
        <f>4*B166/100</f>
        <v>0</v>
      </c>
      <c r="I166" s="81">
        <f>15*B166/100</f>
        <v>0</v>
      </c>
      <c r="J166" s="81">
        <f>0.9*B166/100</f>
        <v>0</v>
      </c>
      <c r="K166" s="82">
        <v>270.2</v>
      </c>
      <c r="L166" s="93"/>
      <c r="M166" s="94">
        <f>K166*L166/100</f>
        <v>0</v>
      </c>
      <c r="N166" s="85"/>
      <c r="O166" s="88">
        <f t="shared" si="53"/>
        <v>0</v>
      </c>
      <c r="P166" s="93"/>
      <c r="Q166" s="94">
        <f>K166*P166/100</f>
        <v>0</v>
      </c>
      <c r="R166" s="87"/>
      <c r="S166" s="88">
        <f>R166*K166/100</f>
        <v>0</v>
      </c>
      <c r="T166" s="93"/>
      <c r="U166" s="94">
        <f>K166*T166/100</f>
        <v>0</v>
      </c>
    </row>
    <row r="167" spans="1:21" ht="15">
      <c r="A167" s="171" t="s">
        <v>222</v>
      </c>
      <c r="B167" s="157"/>
      <c r="C167" s="166">
        <f>9*B167</f>
        <v>0</v>
      </c>
      <c r="D167" s="170">
        <f>33.6*B167</f>
        <v>0</v>
      </c>
      <c r="E167" s="168">
        <f>27.3*B167</f>
        <v>0</v>
      </c>
      <c r="F167" s="78">
        <f>1*B167</f>
        <v>0</v>
      </c>
      <c r="G167" s="80">
        <f>26.3*B167</f>
        <v>0</v>
      </c>
      <c r="H167" s="80">
        <f>19*B167</f>
        <v>0</v>
      </c>
      <c r="I167" s="81">
        <f>133*B167</f>
        <v>0</v>
      </c>
      <c r="J167" s="81">
        <f>1.3*B167</f>
        <v>0</v>
      </c>
      <c r="K167" s="82">
        <v>445.4</v>
      </c>
      <c r="L167" s="93"/>
      <c r="M167" s="94">
        <f>K167*L167</f>
        <v>0</v>
      </c>
      <c r="N167" s="85"/>
      <c r="O167" s="88">
        <f aca="true" t="shared" si="56" ref="O167:O173">N167*K167</f>
        <v>0</v>
      </c>
      <c r="P167" s="93"/>
      <c r="Q167" s="94">
        <f>K167*P167</f>
        <v>0</v>
      </c>
      <c r="R167" s="87"/>
      <c r="S167" s="88">
        <f aca="true" t="shared" si="57" ref="S167:S173">R167*K167</f>
        <v>0</v>
      </c>
      <c r="T167" s="93"/>
      <c r="U167" s="94">
        <f>K167*T167</f>
        <v>0</v>
      </c>
    </row>
    <row r="168" spans="1:21" ht="15">
      <c r="A168" s="171" t="s">
        <v>223</v>
      </c>
      <c r="B168" s="157"/>
      <c r="C168" s="166">
        <f>11.9*B168</f>
        <v>0</v>
      </c>
      <c r="D168" s="170">
        <f>10.2*B168</f>
        <v>0</v>
      </c>
      <c r="E168" s="168">
        <f>30.5*B168</f>
        <v>0</v>
      </c>
      <c r="F168" s="78"/>
      <c r="G168" s="80"/>
      <c r="H168" s="80"/>
      <c r="I168" s="81"/>
      <c r="J168" s="81"/>
      <c r="K168" s="82">
        <v>261</v>
      </c>
      <c r="L168" s="173"/>
      <c r="M168" s="94">
        <f aca="true" t="shared" si="58" ref="M168:M173">L168*K168</f>
        <v>0</v>
      </c>
      <c r="N168" s="85"/>
      <c r="O168" s="88">
        <f t="shared" si="56"/>
        <v>0</v>
      </c>
      <c r="P168" s="173"/>
      <c r="Q168" s="94">
        <f aca="true" t="shared" si="59" ref="Q168:Q173">P168*K168</f>
        <v>0</v>
      </c>
      <c r="R168" s="174"/>
      <c r="S168" s="88">
        <f t="shared" si="57"/>
        <v>0</v>
      </c>
      <c r="T168" s="173"/>
      <c r="U168" s="94">
        <f aca="true" t="shared" si="60" ref="U168:U173">T168*K168</f>
        <v>0</v>
      </c>
    </row>
    <row r="169" spans="1:21" ht="15">
      <c r="A169" s="171" t="s">
        <v>224</v>
      </c>
      <c r="B169" s="157"/>
      <c r="C169" s="166">
        <f>11.8*B169</f>
        <v>0</v>
      </c>
      <c r="D169" s="170">
        <f>11.6*B169</f>
        <v>0</v>
      </c>
      <c r="E169" s="168">
        <f>25.9*B169</f>
        <v>0</v>
      </c>
      <c r="F169" s="78"/>
      <c r="G169" s="80"/>
      <c r="H169" s="80"/>
      <c r="I169" s="81"/>
      <c r="J169" s="81"/>
      <c r="K169" s="82">
        <v>255</v>
      </c>
      <c r="L169" s="173"/>
      <c r="M169" s="94">
        <f t="shared" si="58"/>
        <v>0</v>
      </c>
      <c r="N169" s="85"/>
      <c r="O169" s="88">
        <f t="shared" si="56"/>
        <v>0</v>
      </c>
      <c r="P169" s="173"/>
      <c r="Q169" s="94">
        <f t="shared" si="59"/>
        <v>0</v>
      </c>
      <c r="R169" s="174"/>
      <c r="S169" s="88">
        <f t="shared" si="57"/>
        <v>0</v>
      </c>
      <c r="T169" s="173"/>
      <c r="U169" s="94">
        <f t="shared" si="60"/>
        <v>0</v>
      </c>
    </row>
    <row r="170" spans="1:21" ht="15">
      <c r="A170" s="171" t="s">
        <v>225</v>
      </c>
      <c r="B170" s="157"/>
      <c r="C170" s="166">
        <f>11.8*B170</f>
        <v>0</v>
      </c>
      <c r="D170" s="170">
        <f>11.6*B170</f>
        <v>0</v>
      </c>
      <c r="E170" s="168">
        <f>25.9*B170</f>
        <v>0</v>
      </c>
      <c r="F170" s="78"/>
      <c r="G170" s="80"/>
      <c r="H170" s="80"/>
      <c r="I170" s="81"/>
      <c r="J170" s="81"/>
      <c r="K170" s="82">
        <v>255</v>
      </c>
      <c r="L170" s="173"/>
      <c r="M170" s="94">
        <f t="shared" si="58"/>
        <v>0</v>
      </c>
      <c r="N170" s="85"/>
      <c r="O170" s="88">
        <f t="shared" si="56"/>
        <v>0</v>
      </c>
      <c r="P170" s="173"/>
      <c r="Q170" s="94">
        <f t="shared" si="59"/>
        <v>0</v>
      </c>
      <c r="R170" s="174"/>
      <c r="S170" s="88">
        <f t="shared" si="57"/>
        <v>0</v>
      </c>
      <c r="T170" s="173"/>
      <c r="U170" s="94">
        <f t="shared" si="60"/>
        <v>0</v>
      </c>
    </row>
    <row r="171" spans="1:21" ht="15">
      <c r="A171" s="171" t="s">
        <v>226</v>
      </c>
      <c r="B171" s="157"/>
      <c r="C171" s="166">
        <f>9.6*B171</f>
        <v>0</v>
      </c>
      <c r="D171" s="170">
        <f>16.5*B171</f>
        <v>0</v>
      </c>
      <c r="E171" s="168">
        <f>28.6*B171</f>
        <v>0</v>
      </c>
      <c r="F171" s="78"/>
      <c r="G171" s="80"/>
      <c r="H171" s="80"/>
      <c r="I171" s="81"/>
      <c r="J171" s="81"/>
      <c r="K171" s="82">
        <v>301</v>
      </c>
      <c r="L171" s="173"/>
      <c r="M171" s="94">
        <f t="shared" si="58"/>
        <v>0</v>
      </c>
      <c r="N171" s="85"/>
      <c r="O171" s="88">
        <f t="shared" si="56"/>
        <v>0</v>
      </c>
      <c r="P171" s="173"/>
      <c r="Q171" s="94">
        <f t="shared" si="59"/>
        <v>0</v>
      </c>
      <c r="R171" s="174"/>
      <c r="S171" s="88">
        <f t="shared" si="57"/>
        <v>0</v>
      </c>
      <c r="T171" s="173"/>
      <c r="U171" s="94">
        <f t="shared" si="60"/>
        <v>0</v>
      </c>
    </row>
    <row r="172" spans="1:21" ht="15">
      <c r="A172" s="171" t="s">
        <v>227</v>
      </c>
      <c r="B172" s="157"/>
      <c r="C172" s="166">
        <f>8.1*B172</f>
        <v>0</v>
      </c>
      <c r="D172" s="170">
        <f>16.7*B172</f>
        <v>0</v>
      </c>
      <c r="E172" s="168">
        <f>21*B172</f>
        <v>0</v>
      </c>
      <c r="F172" s="78"/>
      <c r="G172" s="80"/>
      <c r="H172" s="80"/>
      <c r="I172" s="81"/>
      <c r="J172" s="81"/>
      <c r="K172" s="82">
        <v>267</v>
      </c>
      <c r="L172" s="173"/>
      <c r="M172" s="94">
        <f t="shared" si="58"/>
        <v>0</v>
      </c>
      <c r="N172" s="85"/>
      <c r="O172" s="88">
        <f t="shared" si="56"/>
        <v>0</v>
      </c>
      <c r="P172" s="173"/>
      <c r="Q172" s="94">
        <f t="shared" si="59"/>
        <v>0</v>
      </c>
      <c r="R172" s="174"/>
      <c r="S172" s="88">
        <f t="shared" si="57"/>
        <v>0</v>
      </c>
      <c r="T172" s="173"/>
      <c r="U172" s="94">
        <f t="shared" si="60"/>
        <v>0</v>
      </c>
    </row>
    <row r="173" spans="1:21" ht="15">
      <c r="A173" s="171" t="s">
        <v>228</v>
      </c>
      <c r="B173" s="157"/>
      <c r="C173" s="166">
        <f>6.6*B173</f>
        <v>0</v>
      </c>
      <c r="D173" s="170">
        <f>18.2*B173</f>
        <v>0</v>
      </c>
      <c r="E173" s="168">
        <f>20.2*B173</f>
        <v>0</v>
      </c>
      <c r="F173" s="78"/>
      <c r="G173" s="80"/>
      <c r="H173" s="80"/>
      <c r="I173" s="81"/>
      <c r="J173" s="81"/>
      <c r="K173" s="82">
        <v>271</v>
      </c>
      <c r="L173" s="173"/>
      <c r="M173" s="94">
        <f t="shared" si="58"/>
        <v>0</v>
      </c>
      <c r="N173" s="85"/>
      <c r="O173" s="88">
        <f t="shared" si="56"/>
        <v>0</v>
      </c>
      <c r="P173" s="173"/>
      <c r="Q173" s="94">
        <f t="shared" si="59"/>
        <v>0</v>
      </c>
      <c r="R173" s="174"/>
      <c r="S173" s="88">
        <f t="shared" si="57"/>
        <v>0</v>
      </c>
      <c r="T173" s="173"/>
      <c r="U173" s="94">
        <f t="shared" si="60"/>
        <v>0</v>
      </c>
    </row>
    <row r="174" spans="1:21" ht="15">
      <c r="A174" s="129" t="s">
        <v>229</v>
      </c>
      <c r="B174" s="157"/>
      <c r="C174" s="170">
        <f>12*B174/100</f>
        <v>0</v>
      </c>
      <c r="D174" s="170">
        <f>28*B174/100</f>
        <v>0</v>
      </c>
      <c r="E174" s="175">
        <f>60*B174/100</f>
        <v>0</v>
      </c>
      <c r="F174" s="78"/>
      <c r="G174" s="80"/>
      <c r="H174" s="80"/>
      <c r="I174" s="81"/>
      <c r="J174" s="81"/>
      <c r="K174" s="82">
        <v>540</v>
      </c>
      <c r="L174" s="173"/>
      <c r="M174" s="94">
        <f>742.5*L174/100</f>
        <v>0</v>
      </c>
      <c r="N174" s="85"/>
      <c r="O174" s="88">
        <f>N174*K174/100</f>
        <v>0</v>
      </c>
      <c r="P174" s="173"/>
      <c r="Q174" s="94">
        <f>K174*P174/100</f>
        <v>0</v>
      </c>
      <c r="R174" s="174"/>
      <c r="S174" s="88">
        <f>R174*K174/100</f>
        <v>0</v>
      </c>
      <c r="T174" s="173"/>
      <c r="U174" s="94">
        <f>K174*T174/100</f>
        <v>0</v>
      </c>
    </row>
    <row r="175" spans="1:21" ht="15">
      <c r="A175" s="176" t="s">
        <v>230</v>
      </c>
      <c r="B175" s="157"/>
      <c r="C175" s="170">
        <f>13*B175/100</f>
        <v>0</v>
      </c>
      <c r="D175" s="170">
        <f>25*B175/100</f>
        <v>0</v>
      </c>
      <c r="E175" s="175">
        <f>59*B175/100</f>
        <v>0</v>
      </c>
      <c r="F175" s="78"/>
      <c r="G175" s="80"/>
      <c r="H175" s="80"/>
      <c r="I175" s="81"/>
      <c r="J175" s="81"/>
      <c r="K175" s="82">
        <v>510</v>
      </c>
      <c r="L175" s="173"/>
      <c r="M175" s="94"/>
      <c r="N175" s="85"/>
      <c r="O175" s="88"/>
      <c r="P175" s="173"/>
      <c r="Q175" s="94"/>
      <c r="R175" s="174"/>
      <c r="S175" s="88"/>
      <c r="T175" s="173"/>
      <c r="U175" s="94"/>
    </row>
    <row r="176" spans="1:21" ht="15">
      <c r="A176" s="176" t="s">
        <v>231</v>
      </c>
      <c r="B176" s="157"/>
      <c r="C176" s="170">
        <f>3.9*B176/100</f>
        <v>0</v>
      </c>
      <c r="D176" s="170">
        <f>34*B176/100</f>
        <v>0</v>
      </c>
      <c r="E176" s="175">
        <f>52*B176/100</f>
        <v>0</v>
      </c>
      <c r="F176" s="78">
        <f>1.4*B176/100</f>
        <v>0</v>
      </c>
      <c r="G176" s="80">
        <f>50.6*B176/100</f>
        <v>0</v>
      </c>
      <c r="H176" s="80">
        <f>7*B176/100</f>
        <v>0</v>
      </c>
      <c r="I176" s="81"/>
      <c r="J176" s="81"/>
      <c r="K176" s="82">
        <v>526</v>
      </c>
      <c r="L176" s="173"/>
      <c r="M176" s="94"/>
      <c r="N176" s="85"/>
      <c r="O176" s="88"/>
      <c r="P176" s="173"/>
      <c r="Q176" s="94"/>
      <c r="R176" s="174"/>
      <c r="S176" s="88"/>
      <c r="T176" s="173"/>
      <c r="U176" s="94"/>
    </row>
    <row r="177" spans="1:21" ht="15">
      <c r="A177" s="171" t="s">
        <v>232</v>
      </c>
      <c r="B177" s="157"/>
      <c r="C177" s="170">
        <f>1.8*B177</f>
        <v>0</v>
      </c>
      <c r="D177" s="170">
        <f>10.2*B177</f>
        <v>0</v>
      </c>
      <c r="E177" s="175">
        <f>15.3*B177</f>
        <v>0</v>
      </c>
      <c r="F177" s="78">
        <f>0.15*B177</f>
        <v>0</v>
      </c>
      <c r="G177" s="80"/>
      <c r="H177" s="80">
        <f>1.1*B177</f>
        <v>0</v>
      </c>
      <c r="I177" s="81"/>
      <c r="J177" s="81"/>
      <c r="K177" s="82">
        <v>163</v>
      </c>
      <c r="L177" s="173"/>
      <c r="M177" s="94">
        <f>L177*K177</f>
        <v>0</v>
      </c>
      <c r="N177" s="85"/>
      <c r="O177" s="88">
        <f>N177*K177</f>
        <v>0</v>
      </c>
      <c r="P177" s="173"/>
      <c r="Q177" s="94">
        <f>K177*P177</f>
        <v>0</v>
      </c>
      <c r="R177" s="174"/>
      <c r="S177" s="88">
        <f>R177*K177</f>
        <v>0</v>
      </c>
      <c r="T177" s="173"/>
      <c r="U177" s="94">
        <f>K177*T177</f>
        <v>0</v>
      </c>
    </row>
    <row r="178" spans="1:21" ht="15">
      <c r="A178" s="129" t="s">
        <v>233</v>
      </c>
      <c r="B178" s="177"/>
      <c r="C178" s="167"/>
      <c r="D178" s="167"/>
      <c r="E178" s="178"/>
      <c r="F178" s="113"/>
      <c r="G178" s="79"/>
      <c r="H178" s="79"/>
      <c r="I178" s="79"/>
      <c r="J178" s="79"/>
      <c r="K178" s="133"/>
      <c r="L178" s="179"/>
      <c r="M178" s="135"/>
      <c r="N178" s="136"/>
      <c r="O178" s="137"/>
      <c r="P178" s="179"/>
      <c r="Q178" s="135"/>
      <c r="R178" s="180"/>
      <c r="S178" s="137"/>
      <c r="T178" s="179"/>
      <c r="U178" s="135"/>
    </row>
    <row r="179" spans="1:21" ht="15">
      <c r="A179" s="169" t="s">
        <v>234</v>
      </c>
      <c r="B179" s="157"/>
      <c r="C179" s="170">
        <f>27*B179</f>
        <v>0</v>
      </c>
      <c r="D179" s="170">
        <f>25*B179</f>
        <v>0</v>
      </c>
      <c r="E179" s="175">
        <f>40*B179</f>
        <v>0</v>
      </c>
      <c r="F179" s="78">
        <f>8*B179</f>
        <v>0</v>
      </c>
      <c r="G179" s="80">
        <f>32*B179</f>
        <v>0</v>
      </c>
      <c r="H179" s="80">
        <f>10*B179</f>
        <v>0</v>
      </c>
      <c r="I179" s="81"/>
      <c r="J179" s="81"/>
      <c r="K179" s="82">
        <v>495</v>
      </c>
      <c r="L179" s="173"/>
      <c r="M179" s="94">
        <f>L179*K179</f>
        <v>0</v>
      </c>
      <c r="N179" s="85"/>
      <c r="O179" s="88">
        <f>N179*K179</f>
        <v>0</v>
      </c>
      <c r="P179" s="173"/>
      <c r="Q179" s="94">
        <f>K179*P179</f>
        <v>0</v>
      </c>
      <c r="R179" s="174"/>
      <c r="S179" s="88">
        <f>R179*K179</f>
        <v>0</v>
      </c>
      <c r="T179" s="173"/>
      <c r="U179" s="94">
        <f>K179*T179</f>
        <v>0</v>
      </c>
    </row>
    <row r="180" spans="1:21" ht="15">
      <c r="A180" s="181" t="s">
        <v>235</v>
      </c>
      <c r="B180" s="157"/>
      <c r="C180" s="170">
        <f>16*B180</f>
        <v>0</v>
      </c>
      <c r="D180" s="170">
        <f>13*B180</f>
        <v>0</v>
      </c>
      <c r="E180" s="175">
        <f>30*B180</f>
        <v>0</v>
      </c>
      <c r="F180" s="78">
        <f>7*B180</f>
        <v>0</v>
      </c>
      <c r="G180" s="80">
        <f>23*B180</f>
        <v>0</v>
      </c>
      <c r="H180" s="80">
        <f>6*B180</f>
        <v>0</v>
      </c>
      <c r="I180" s="81"/>
      <c r="J180" s="81"/>
      <c r="K180" s="82">
        <v>300</v>
      </c>
      <c r="L180" s="173"/>
      <c r="M180" s="94">
        <f>L180*K180</f>
        <v>0</v>
      </c>
      <c r="N180" s="85"/>
      <c r="O180" s="88">
        <f>N180*K180</f>
        <v>0</v>
      </c>
      <c r="P180" s="173"/>
      <c r="Q180" s="94">
        <f>K180*P180</f>
        <v>0</v>
      </c>
      <c r="R180" s="174"/>
      <c r="S180" s="88">
        <f>R180*K180</f>
        <v>0</v>
      </c>
      <c r="T180" s="173"/>
      <c r="U180" s="94">
        <f>K180*T180</f>
        <v>0</v>
      </c>
    </row>
    <row r="181" spans="1:21" ht="15">
      <c r="A181" s="181" t="s">
        <v>236</v>
      </c>
      <c r="B181" s="157"/>
      <c r="C181" s="170">
        <f>17*B181</f>
        <v>0</v>
      </c>
      <c r="D181" s="170">
        <f>15*B181</f>
        <v>0</v>
      </c>
      <c r="E181" s="175">
        <f>31*B181</f>
        <v>0</v>
      </c>
      <c r="F181" s="78"/>
      <c r="G181" s="80"/>
      <c r="H181" s="80"/>
      <c r="I181" s="81"/>
      <c r="J181" s="81"/>
      <c r="K181" s="82">
        <v>325</v>
      </c>
      <c r="L181" s="173"/>
      <c r="M181" s="94"/>
      <c r="N181" s="85"/>
      <c r="O181" s="88"/>
      <c r="P181" s="173"/>
      <c r="Q181" s="94"/>
      <c r="R181" s="174"/>
      <c r="S181" s="88"/>
      <c r="T181" s="173"/>
      <c r="U181" s="94"/>
    </row>
    <row r="182" spans="1:21" ht="15">
      <c r="A182" s="171" t="s">
        <v>237</v>
      </c>
      <c r="B182" s="157"/>
      <c r="C182" s="170">
        <f>27*B182</f>
        <v>0</v>
      </c>
      <c r="D182" s="170">
        <f>23*B182</f>
        <v>0</v>
      </c>
      <c r="E182" s="175">
        <f>31*B182</f>
        <v>0</v>
      </c>
      <c r="F182" s="78"/>
      <c r="G182" s="80"/>
      <c r="H182" s="80"/>
      <c r="I182" s="81"/>
      <c r="J182" s="81"/>
      <c r="K182" s="82">
        <v>440</v>
      </c>
      <c r="L182" s="173"/>
      <c r="M182" s="94"/>
      <c r="N182" s="85"/>
      <c r="O182" s="88"/>
      <c r="P182" s="173"/>
      <c r="Q182" s="94"/>
      <c r="R182" s="174"/>
      <c r="S182" s="88"/>
      <c r="T182" s="173"/>
      <c r="U182" s="94"/>
    </row>
    <row r="183" spans="1:21" ht="15">
      <c r="A183" s="181" t="s">
        <v>238</v>
      </c>
      <c r="B183" s="157"/>
      <c r="C183" s="170">
        <f>13*B183</f>
        <v>0</v>
      </c>
      <c r="D183" s="170">
        <f>9*B180</f>
        <v>0</v>
      </c>
      <c r="E183" s="175">
        <f>30*B183</f>
        <v>0</v>
      </c>
      <c r="F183" s="78">
        <f>7*B183</f>
        <v>0</v>
      </c>
      <c r="G183" s="80">
        <f>23*B183</f>
        <v>0</v>
      </c>
      <c r="H183" s="80">
        <f>3*B183</f>
        <v>0</v>
      </c>
      <c r="I183" s="81"/>
      <c r="J183" s="81"/>
      <c r="K183" s="82">
        <v>255</v>
      </c>
      <c r="L183" s="173"/>
      <c r="M183" s="94">
        <f>L183*K183</f>
        <v>0</v>
      </c>
      <c r="N183" s="85"/>
      <c r="O183" s="88">
        <f>N183*K183</f>
        <v>0</v>
      </c>
      <c r="P183" s="173"/>
      <c r="Q183" s="94">
        <f>K183*P183</f>
        <v>0</v>
      </c>
      <c r="R183" s="174"/>
      <c r="S183" s="88">
        <f>R183*K183</f>
        <v>0</v>
      </c>
      <c r="T183" s="173"/>
      <c r="U183" s="94">
        <f>K183*T183</f>
        <v>0</v>
      </c>
    </row>
    <row r="184" spans="1:21" ht="15">
      <c r="A184" s="181" t="s">
        <v>239</v>
      </c>
      <c r="B184" s="157"/>
      <c r="C184" s="170">
        <f>14*B184</f>
        <v>0</v>
      </c>
      <c r="D184" s="170">
        <f>10*B184</f>
        <v>0</v>
      </c>
      <c r="E184" s="175">
        <f>28*B184</f>
        <v>0</v>
      </c>
      <c r="F184" s="78"/>
      <c r="G184" s="80"/>
      <c r="H184" s="80"/>
      <c r="I184" s="81"/>
      <c r="J184" s="81"/>
      <c r="K184" s="82">
        <v>255</v>
      </c>
      <c r="L184" s="173"/>
      <c r="M184" s="94"/>
      <c r="N184" s="85"/>
      <c r="O184" s="88"/>
      <c r="P184" s="173"/>
      <c r="Q184" s="94"/>
      <c r="R184" s="174"/>
      <c r="S184" s="88"/>
      <c r="T184" s="173"/>
      <c r="U184" s="94"/>
    </row>
    <row r="185" spans="1:21" ht="15">
      <c r="A185" s="171" t="s">
        <v>240</v>
      </c>
      <c r="B185" s="157"/>
      <c r="C185" s="170">
        <f>21*B185</f>
        <v>0</v>
      </c>
      <c r="D185" s="170">
        <f>21*B185</f>
        <v>0</v>
      </c>
      <c r="E185" s="175">
        <f>43*B185</f>
        <v>0</v>
      </c>
      <c r="F185" s="78">
        <f>4*B185</f>
        <v>0</v>
      </c>
      <c r="G185" s="80">
        <f>39*B185</f>
        <v>0</v>
      </c>
      <c r="H185" s="80">
        <f>4*B185</f>
        <v>0</v>
      </c>
      <c r="I185" s="81"/>
      <c r="J185" s="81"/>
      <c r="K185" s="82">
        <v>445</v>
      </c>
      <c r="L185" s="173"/>
      <c r="M185" s="94">
        <f aca="true" t="shared" si="61" ref="M185:M210">L185*K185</f>
        <v>0</v>
      </c>
      <c r="N185" s="85"/>
      <c r="O185" s="88">
        <f aca="true" t="shared" si="62" ref="O185:O210">N185*K185</f>
        <v>0</v>
      </c>
      <c r="P185" s="173"/>
      <c r="Q185" s="94">
        <f aca="true" t="shared" si="63" ref="Q185:Q210">K185*P185</f>
        <v>0</v>
      </c>
      <c r="R185" s="174"/>
      <c r="S185" s="88">
        <f aca="true" t="shared" si="64" ref="S185:S210">R185*K185</f>
        <v>0</v>
      </c>
      <c r="T185" s="173"/>
      <c r="U185" s="94">
        <f aca="true" t="shared" si="65" ref="U185:U210">K185*T185</f>
        <v>0</v>
      </c>
    </row>
    <row r="186" spans="1:21" ht="15">
      <c r="A186" s="182" t="s">
        <v>241</v>
      </c>
      <c r="B186" s="157"/>
      <c r="C186" s="170">
        <f>13*B186</f>
        <v>0</v>
      </c>
      <c r="D186" s="170">
        <f>8*B186</f>
        <v>0</v>
      </c>
      <c r="E186" s="175">
        <f>40*B186</f>
        <v>0</v>
      </c>
      <c r="F186" s="78"/>
      <c r="G186" s="80"/>
      <c r="H186" s="80"/>
      <c r="I186" s="81"/>
      <c r="J186" s="81"/>
      <c r="K186" s="82">
        <v>285</v>
      </c>
      <c r="L186" s="173"/>
      <c r="M186" s="94">
        <f t="shared" si="61"/>
        <v>0</v>
      </c>
      <c r="N186" s="85"/>
      <c r="O186" s="88">
        <f t="shared" si="62"/>
        <v>0</v>
      </c>
      <c r="P186" s="173"/>
      <c r="Q186" s="94">
        <f t="shared" si="63"/>
        <v>0</v>
      </c>
      <c r="R186" s="174"/>
      <c r="S186" s="88">
        <f t="shared" si="64"/>
        <v>0</v>
      </c>
      <c r="T186" s="173"/>
      <c r="U186" s="94">
        <f t="shared" si="65"/>
        <v>0</v>
      </c>
    </row>
    <row r="187" spans="1:21" ht="15">
      <c r="A187" s="171" t="s">
        <v>242</v>
      </c>
      <c r="B187" s="157"/>
      <c r="C187" s="170">
        <f>32*B187</f>
        <v>0</v>
      </c>
      <c r="D187" s="170">
        <f>27*B187</f>
        <v>0</v>
      </c>
      <c r="E187" s="175">
        <f>34*B187</f>
        <v>0</v>
      </c>
      <c r="F187" s="78">
        <f>9*B187</f>
        <v>0</v>
      </c>
      <c r="G187" s="80">
        <f>25*B187</f>
        <v>0</v>
      </c>
      <c r="H187" s="80">
        <f>12.5*B187</f>
        <v>0</v>
      </c>
      <c r="I187" s="81"/>
      <c r="J187" s="81"/>
      <c r="K187" s="82">
        <v>505</v>
      </c>
      <c r="L187" s="173"/>
      <c r="M187" s="94">
        <f t="shared" si="61"/>
        <v>0</v>
      </c>
      <c r="N187" s="85"/>
      <c r="O187" s="88">
        <f t="shared" si="62"/>
        <v>0</v>
      </c>
      <c r="P187" s="173"/>
      <c r="Q187" s="94">
        <f t="shared" si="63"/>
        <v>0</v>
      </c>
      <c r="R187" s="174"/>
      <c r="S187" s="88">
        <f t="shared" si="64"/>
        <v>0</v>
      </c>
      <c r="T187" s="173"/>
      <c r="U187" s="94">
        <f t="shared" si="65"/>
        <v>0</v>
      </c>
    </row>
    <row r="188" spans="1:21" ht="15">
      <c r="A188" s="171" t="s">
        <v>243</v>
      </c>
      <c r="B188" s="157"/>
      <c r="C188" s="170">
        <f>31*B188</f>
        <v>0</v>
      </c>
      <c r="D188" s="170">
        <f>32*B188</f>
        <v>0</v>
      </c>
      <c r="E188" s="175">
        <f>32*B188</f>
        <v>0</v>
      </c>
      <c r="F188" s="78">
        <f>6*B188</f>
        <v>0</v>
      </c>
      <c r="G188" s="80">
        <f>26*B188</f>
        <v>0</v>
      </c>
      <c r="H188" s="80">
        <f>12*B188</f>
        <v>0</v>
      </c>
      <c r="I188" s="81"/>
      <c r="J188" s="81"/>
      <c r="K188" s="82">
        <v>540</v>
      </c>
      <c r="L188" s="173"/>
      <c r="M188" s="94">
        <f t="shared" si="61"/>
        <v>0</v>
      </c>
      <c r="N188" s="85"/>
      <c r="O188" s="88">
        <f t="shared" si="62"/>
        <v>0</v>
      </c>
      <c r="P188" s="173"/>
      <c r="Q188" s="94">
        <f t="shared" si="63"/>
        <v>0</v>
      </c>
      <c r="R188" s="174"/>
      <c r="S188" s="88">
        <f t="shared" si="64"/>
        <v>0</v>
      </c>
      <c r="T188" s="173"/>
      <c r="U188" s="94">
        <f t="shared" si="65"/>
        <v>0</v>
      </c>
    </row>
    <row r="189" spans="1:21" ht="15">
      <c r="A189" s="171" t="s">
        <v>244</v>
      </c>
      <c r="B189" s="157"/>
      <c r="C189" s="170">
        <f>28*B189</f>
        <v>0</v>
      </c>
      <c r="D189" s="170">
        <f>34*B189</f>
        <v>0</v>
      </c>
      <c r="E189" s="175">
        <f>35*B189</f>
        <v>0</v>
      </c>
      <c r="F189" s="78"/>
      <c r="G189" s="80"/>
      <c r="H189" s="80"/>
      <c r="I189" s="81"/>
      <c r="J189" s="81"/>
      <c r="K189" s="82">
        <v>562</v>
      </c>
      <c r="L189" s="173"/>
      <c r="M189" s="94">
        <f t="shared" si="61"/>
        <v>0</v>
      </c>
      <c r="N189" s="85"/>
      <c r="O189" s="88">
        <f t="shared" si="62"/>
        <v>0</v>
      </c>
      <c r="P189" s="173"/>
      <c r="Q189" s="94">
        <f t="shared" si="63"/>
        <v>0</v>
      </c>
      <c r="R189" s="174"/>
      <c r="S189" s="88">
        <f t="shared" si="64"/>
        <v>0</v>
      </c>
      <c r="T189" s="173"/>
      <c r="U189" s="94">
        <f t="shared" si="65"/>
        <v>0</v>
      </c>
    </row>
    <row r="190" spans="1:21" ht="15">
      <c r="A190" s="171" t="s">
        <v>245</v>
      </c>
      <c r="B190" s="157"/>
      <c r="C190" s="170">
        <f>44*B190</f>
        <v>0</v>
      </c>
      <c r="D190" s="170">
        <f>40*B190</f>
        <v>0</v>
      </c>
      <c r="E190" s="175">
        <f>59*B190</f>
        <v>0</v>
      </c>
      <c r="F190" s="78"/>
      <c r="G190" s="80"/>
      <c r="H190" s="80"/>
      <c r="I190" s="81"/>
      <c r="J190" s="81"/>
      <c r="K190" s="82">
        <v>775</v>
      </c>
      <c r="L190" s="173"/>
      <c r="M190" s="94">
        <f t="shared" si="61"/>
        <v>0</v>
      </c>
      <c r="N190" s="85"/>
      <c r="O190" s="88">
        <f t="shared" si="62"/>
        <v>0</v>
      </c>
      <c r="P190" s="173"/>
      <c r="Q190" s="94">
        <f t="shared" si="63"/>
        <v>0</v>
      </c>
      <c r="R190" s="174"/>
      <c r="S190" s="88">
        <f t="shared" si="64"/>
        <v>0</v>
      </c>
      <c r="T190" s="173"/>
      <c r="U190" s="94">
        <f t="shared" si="65"/>
        <v>0</v>
      </c>
    </row>
    <row r="191" spans="1:21" ht="15">
      <c r="A191" s="171" t="s">
        <v>246</v>
      </c>
      <c r="B191" s="157"/>
      <c r="C191" s="170">
        <f>45*B191</f>
        <v>0</v>
      </c>
      <c r="D191" s="170">
        <f>44*B191</f>
        <v>0</v>
      </c>
      <c r="E191" s="175">
        <f>55*B191</f>
        <v>0</v>
      </c>
      <c r="F191" s="78"/>
      <c r="G191" s="80"/>
      <c r="H191" s="80"/>
      <c r="I191" s="81"/>
      <c r="J191" s="81"/>
      <c r="K191" s="82">
        <v>804</v>
      </c>
      <c r="L191" s="173"/>
      <c r="M191" s="94">
        <f t="shared" si="61"/>
        <v>0</v>
      </c>
      <c r="N191" s="85"/>
      <c r="O191" s="88">
        <f t="shared" si="62"/>
        <v>0</v>
      </c>
      <c r="P191" s="173"/>
      <c r="Q191" s="94">
        <f t="shared" si="63"/>
        <v>0</v>
      </c>
      <c r="R191" s="174"/>
      <c r="S191" s="88">
        <f t="shared" si="64"/>
        <v>0</v>
      </c>
      <c r="T191" s="173"/>
      <c r="U191" s="94">
        <f t="shared" si="65"/>
        <v>0</v>
      </c>
    </row>
    <row r="192" spans="1:21" ht="15">
      <c r="A192" s="171" t="s">
        <v>247</v>
      </c>
      <c r="B192" s="157"/>
      <c r="C192" s="170">
        <f>45*B192</f>
        <v>0</v>
      </c>
      <c r="D192" s="170">
        <f>44*B192</f>
        <v>0</v>
      </c>
      <c r="E192" s="175">
        <f>53*B192</f>
        <v>0</v>
      </c>
      <c r="F192" s="78"/>
      <c r="G192" s="80"/>
      <c r="H192" s="80"/>
      <c r="I192" s="81"/>
      <c r="J192" s="81"/>
      <c r="K192" s="82">
        <v>796</v>
      </c>
      <c r="L192" s="173"/>
      <c r="M192" s="94">
        <f t="shared" si="61"/>
        <v>0</v>
      </c>
      <c r="N192" s="85"/>
      <c r="O192" s="88">
        <f t="shared" si="62"/>
        <v>0</v>
      </c>
      <c r="P192" s="173"/>
      <c r="Q192" s="94">
        <f t="shared" si="63"/>
        <v>0</v>
      </c>
      <c r="R192" s="174"/>
      <c r="S192" s="88">
        <f t="shared" si="64"/>
        <v>0</v>
      </c>
      <c r="T192" s="173"/>
      <c r="U192" s="94">
        <f t="shared" si="65"/>
        <v>0</v>
      </c>
    </row>
    <row r="193" spans="1:21" ht="15">
      <c r="A193" s="171" t="s">
        <v>248</v>
      </c>
      <c r="B193" s="157"/>
      <c r="C193" s="170">
        <f>45*B193</f>
        <v>0</v>
      </c>
      <c r="D193" s="170">
        <f>43*B193</f>
        <v>0</v>
      </c>
      <c r="E193" s="175">
        <f>54*B193</f>
        <v>0</v>
      </c>
      <c r="F193" s="78"/>
      <c r="G193" s="80"/>
      <c r="H193" s="80"/>
      <c r="I193" s="81"/>
      <c r="J193" s="81"/>
      <c r="K193" s="82">
        <v>791</v>
      </c>
      <c r="L193" s="173"/>
      <c r="M193" s="94">
        <f t="shared" si="61"/>
        <v>0</v>
      </c>
      <c r="N193" s="85"/>
      <c r="O193" s="88">
        <f t="shared" si="62"/>
        <v>0</v>
      </c>
      <c r="P193" s="173"/>
      <c r="Q193" s="94">
        <f t="shared" si="63"/>
        <v>0</v>
      </c>
      <c r="R193" s="174"/>
      <c r="S193" s="88">
        <f t="shared" si="64"/>
        <v>0</v>
      </c>
      <c r="T193" s="173"/>
      <c r="U193" s="94">
        <f t="shared" si="65"/>
        <v>0</v>
      </c>
    </row>
    <row r="194" spans="1:21" ht="15">
      <c r="A194" s="171" t="s">
        <v>249</v>
      </c>
      <c r="B194" s="157"/>
      <c r="C194" s="170">
        <f>27*B194</f>
        <v>0</v>
      </c>
      <c r="D194" s="170">
        <f>37*B194</f>
        <v>0</v>
      </c>
      <c r="E194" s="175">
        <f>57*B194</f>
        <v>0</v>
      </c>
      <c r="F194" s="78"/>
      <c r="G194" s="80"/>
      <c r="H194" s="80"/>
      <c r="I194" s="81"/>
      <c r="J194" s="81"/>
      <c r="K194" s="82">
        <v>670</v>
      </c>
      <c r="L194" s="173"/>
      <c r="M194" s="94">
        <f t="shared" si="61"/>
        <v>0</v>
      </c>
      <c r="N194" s="85"/>
      <c r="O194" s="88">
        <f t="shared" si="62"/>
        <v>0</v>
      </c>
      <c r="P194" s="173"/>
      <c r="Q194" s="94">
        <f t="shared" si="63"/>
        <v>0</v>
      </c>
      <c r="R194" s="174"/>
      <c r="S194" s="88">
        <f t="shared" si="64"/>
        <v>0</v>
      </c>
      <c r="T194" s="173"/>
      <c r="U194" s="94">
        <f t="shared" si="65"/>
        <v>0</v>
      </c>
    </row>
    <row r="195" spans="1:21" ht="15">
      <c r="A195" s="171" t="s">
        <v>250</v>
      </c>
      <c r="B195" s="157"/>
      <c r="C195" s="170">
        <f>2.7*B195</f>
        <v>0</v>
      </c>
      <c r="D195" s="170">
        <f>2.2*B195</f>
        <v>0</v>
      </c>
      <c r="E195" s="175">
        <f>2.7*B195</f>
        <v>0</v>
      </c>
      <c r="F195" s="78"/>
      <c r="G195" s="80"/>
      <c r="H195" s="80">
        <f>0.25*B195</f>
        <v>0</v>
      </c>
      <c r="I195" s="81"/>
      <c r="J195" s="81"/>
      <c r="K195" s="82">
        <v>42.5</v>
      </c>
      <c r="L195" s="173"/>
      <c r="M195" s="94">
        <f t="shared" si="61"/>
        <v>0</v>
      </c>
      <c r="N195" s="85"/>
      <c r="O195" s="88">
        <f t="shared" si="62"/>
        <v>0</v>
      </c>
      <c r="P195" s="173"/>
      <c r="Q195" s="94">
        <f t="shared" si="63"/>
        <v>0</v>
      </c>
      <c r="R195" s="174"/>
      <c r="S195" s="88">
        <f t="shared" si="64"/>
        <v>0</v>
      </c>
      <c r="T195" s="173"/>
      <c r="U195" s="94">
        <f t="shared" si="65"/>
        <v>0</v>
      </c>
    </row>
    <row r="196" spans="1:21" ht="15">
      <c r="A196" s="171" t="s">
        <v>251</v>
      </c>
      <c r="B196" s="157"/>
      <c r="C196" s="170">
        <f>11*B196</f>
        <v>0</v>
      </c>
      <c r="D196" s="170">
        <f>9*B196</f>
        <v>0</v>
      </c>
      <c r="E196" s="175">
        <f>11*B196</f>
        <v>0</v>
      </c>
      <c r="F196" s="78"/>
      <c r="G196" s="80"/>
      <c r="H196" s="80"/>
      <c r="I196" s="81"/>
      <c r="J196" s="81"/>
      <c r="K196" s="82">
        <v>170</v>
      </c>
      <c r="L196" s="173"/>
      <c r="M196" s="94">
        <f t="shared" si="61"/>
        <v>0</v>
      </c>
      <c r="N196" s="85"/>
      <c r="O196" s="88">
        <f t="shared" si="62"/>
        <v>0</v>
      </c>
      <c r="P196" s="173"/>
      <c r="Q196" s="94">
        <f t="shared" si="63"/>
        <v>0</v>
      </c>
      <c r="R196" s="174"/>
      <c r="S196" s="88">
        <f t="shared" si="64"/>
        <v>0</v>
      </c>
      <c r="T196" s="173"/>
      <c r="U196" s="94">
        <f t="shared" si="65"/>
        <v>0</v>
      </c>
    </row>
    <row r="197" spans="1:21" ht="15">
      <c r="A197" s="171" t="s">
        <v>252</v>
      </c>
      <c r="B197" s="157"/>
      <c r="C197" s="170">
        <f>28*B197</f>
        <v>0</v>
      </c>
      <c r="D197" s="170">
        <f>34*B197</f>
        <v>0</v>
      </c>
      <c r="E197" s="175">
        <f>51*B197</f>
        <v>0</v>
      </c>
      <c r="F197" s="78"/>
      <c r="G197" s="80"/>
      <c r="H197" s="80"/>
      <c r="I197" s="81"/>
      <c r="J197" s="81"/>
      <c r="K197" s="82">
        <v>620</v>
      </c>
      <c r="L197" s="173"/>
      <c r="M197" s="94">
        <f t="shared" si="61"/>
        <v>0</v>
      </c>
      <c r="N197" s="85"/>
      <c r="O197" s="88">
        <f t="shared" si="62"/>
        <v>0</v>
      </c>
      <c r="P197" s="173"/>
      <c r="Q197" s="94">
        <f t="shared" si="63"/>
        <v>0</v>
      </c>
      <c r="R197" s="174"/>
      <c r="S197" s="88">
        <f t="shared" si="64"/>
        <v>0</v>
      </c>
      <c r="T197" s="173"/>
      <c r="U197" s="94">
        <f t="shared" si="65"/>
        <v>0</v>
      </c>
    </row>
    <row r="198" spans="1:21" ht="15">
      <c r="A198" s="181" t="s">
        <v>253</v>
      </c>
      <c r="B198" s="157"/>
      <c r="C198" s="170">
        <f>11*B198</f>
        <v>0</v>
      </c>
      <c r="D198" s="170">
        <f>14*B198</f>
        <v>0</v>
      </c>
      <c r="E198" s="175">
        <f>41*B198</f>
        <v>0</v>
      </c>
      <c r="F198" s="78"/>
      <c r="G198" s="80"/>
      <c r="H198" s="80"/>
      <c r="I198" s="81"/>
      <c r="J198" s="81"/>
      <c r="K198" s="82">
        <v>340</v>
      </c>
      <c r="L198" s="173"/>
      <c r="M198" s="94">
        <f t="shared" si="61"/>
        <v>0</v>
      </c>
      <c r="N198" s="85"/>
      <c r="O198" s="88">
        <f t="shared" si="62"/>
        <v>0</v>
      </c>
      <c r="P198" s="173"/>
      <c r="Q198" s="94">
        <f t="shared" si="63"/>
        <v>0</v>
      </c>
      <c r="R198" s="174"/>
      <c r="S198" s="88">
        <f t="shared" si="64"/>
        <v>0</v>
      </c>
      <c r="T198" s="173"/>
      <c r="U198" s="94">
        <f t="shared" si="65"/>
        <v>0</v>
      </c>
    </row>
    <row r="199" spans="1:21" ht="15">
      <c r="A199" s="171" t="s">
        <v>254</v>
      </c>
      <c r="B199" s="157"/>
      <c r="C199" s="170">
        <f>15*B199</f>
        <v>0</v>
      </c>
      <c r="D199" s="170">
        <f>28*B199</f>
        <v>0</v>
      </c>
      <c r="E199" s="175">
        <f>59*B199</f>
        <v>0</v>
      </c>
      <c r="F199" s="78"/>
      <c r="G199" s="80"/>
      <c r="H199" s="80"/>
      <c r="I199" s="81"/>
      <c r="J199" s="81"/>
      <c r="K199" s="82">
        <v>550</v>
      </c>
      <c r="L199" s="173"/>
      <c r="M199" s="94">
        <f t="shared" si="61"/>
        <v>0</v>
      </c>
      <c r="N199" s="85"/>
      <c r="O199" s="88">
        <f t="shared" si="62"/>
        <v>0</v>
      </c>
      <c r="P199" s="173"/>
      <c r="Q199" s="94">
        <f t="shared" si="63"/>
        <v>0</v>
      </c>
      <c r="R199" s="174"/>
      <c r="S199" s="88">
        <f t="shared" si="64"/>
        <v>0</v>
      </c>
      <c r="T199" s="173"/>
      <c r="U199" s="94">
        <f t="shared" si="65"/>
        <v>0</v>
      </c>
    </row>
    <row r="200" spans="1:21" ht="15">
      <c r="A200" s="181" t="s">
        <v>255</v>
      </c>
      <c r="B200" s="157"/>
      <c r="C200" s="170">
        <f>13*B200</f>
        <v>0</v>
      </c>
      <c r="D200" s="170">
        <f>15*B200</f>
        <v>0</v>
      </c>
      <c r="E200" s="175">
        <f>33*B200</f>
        <v>0</v>
      </c>
      <c r="F200" s="78"/>
      <c r="G200" s="80"/>
      <c r="H200" s="80"/>
      <c r="I200" s="81"/>
      <c r="J200" s="81"/>
      <c r="K200" s="82">
        <v>320</v>
      </c>
      <c r="L200" s="173"/>
      <c r="M200" s="94">
        <f t="shared" si="61"/>
        <v>0</v>
      </c>
      <c r="N200" s="85"/>
      <c r="O200" s="88">
        <f t="shared" si="62"/>
        <v>0</v>
      </c>
      <c r="P200" s="173"/>
      <c r="Q200" s="94">
        <f t="shared" si="63"/>
        <v>0</v>
      </c>
      <c r="R200" s="174"/>
      <c r="S200" s="88">
        <f t="shared" si="64"/>
        <v>0</v>
      </c>
      <c r="T200" s="173"/>
      <c r="U200" s="94">
        <f t="shared" si="65"/>
        <v>0</v>
      </c>
    </row>
    <row r="201" spans="1:21" ht="15">
      <c r="A201" s="181" t="s">
        <v>256</v>
      </c>
      <c r="B201" s="157"/>
      <c r="C201" s="170">
        <f>16*B201</f>
        <v>0</v>
      </c>
      <c r="D201" s="170">
        <f>18*B201</f>
        <v>0</v>
      </c>
      <c r="E201" s="175">
        <f>36*B201</f>
        <v>0</v>
      </c>
      <c r="F201" s="78">
        <f>5*B201</f>
        <v>0</v>
      </c>
      <c r="G201" s="80">
        <f>32*B201</f>
        <v>0</v>
      </c>
      <c r="H201" s="80">
        <f>3*B201</f>
        <v>0</v>
      </c>
      <c r="I201" s="81"/>
      <c r="J201" s="81"/>
      <c r="K201" s="82">
        <v>380</v>
      </c>
      <c r="L201" s="173"/>
      <c r="M201" s="94">
        <f t="shared" si="61"/>
        <v>0</v>
      </c>
      <c r="N201" s="85"/>
      <c r="O201" s="88">
        <f t="shared" si="62"/>
        <v>0</v>
      </c>
      <c r="P201" s="173"/>
      <c r="Q201" s="94">
        <f t="shared" si="63"/>
        <v>0</v>
      </c>
      <c r="R201" s="174"/>
      <c r="S201" s="88">
        <f t="shared" si="64"/>
        <v>0</v>
      </c>
      <c r="T201" s="173"/>
      <c r="U201" s="94">
        <f t="shared" si="65"/>
        <v>0</v>
      </c>
    </row>
    <row r="202" spans="1:21" ht="15">
      <c r="A202" s="181" t="s">
        <v>257</v>
      </c>
      <c r="B202" s="157"/>
      <c r="C202" s="170">
        <f>25*B202</f>
        <v>0</v>
      </c>
      <c r="D202" s="170">
        <f>8*B202</f>
        <v>0</v>
      </c>
      <c r="E202" s="175">
        <f>28*B202</f>
        <v>0</v>
      </c>
      <c r="F202" s="78"/>
      <c r="G202" s="80"/>
      <c r="H202" s="80"/>
      <c r="I202" s="81"/>
      <c r="J202" s="81"/>
      <c r="K202" s="82">
        <v>375</v>
      </c>
      <c r="L202" s="173"/>
      <c r="M202" s="94">
        <f t="shared" si="61"/>
        <v>0</v>
      </c>
      <c r="N202" s="85"/>
      <c r="O202" s="88">
        <f t="shared" si="62"/>
        <v>0</v>
      </c>
      <c r="P202" s="173"/>
      <c r="Q202" s="94">
        <f t="shared" si="63"/>
        <v>0</v>
      </c>
      <c r="R202" s="174"/>
      <c r="S202" s="88">
        <f t="shared" si="64"/>
        <v>0</v>
      </c>
      <c r="T202" s="173"/>
      <c r="U202" s="94">
        <f t="shared" si="65"/>
        <v>0</v>
      </c>
    </row>
    <row r="203" spans="1:21" ht="15">
      <c r="A203" s="171" t="s">
        <v>258</v>
      </c>
      <c r="B203" s="157"/>
      <c r="C203" s="170">
        <f>13*B203</f>
        <v>0</v>
      </c>
      <c r="D203" s="170">
        <f>21*B203</f>
        <v>0</v>
      </c>
      <c r="E203" s="175">
        <f>50*B203</f>
        <v>0</v>
      </c>
      <c r="F203" s="78"/>
      <c r="G203" s="80"/>
      <c r="H203" s="80"/>
      <c r="I203" s="81"/>
      <c r="J203" s="81"/>
      <c r="K203" s="82">
        <v>451</v>
      </c>
      <c r="L203" s="173"/>
      <c r="M203" s="94">
        <f t="shared" si="61"/>
        <v>0</v>
      </c>
      <c r="N203" s="85"/>
      <c r="O203" s="88">
        <f t="shared" si="62"/>
        <v>0</v>
      </c>
      <c r="P203" s="173"/>
      <c r="Q203" s="94">
        <f t="shared" si="63"/>
        <v>0</v>
      </c>
      <c r="R203" s="174"/>
      <c r="S203" s="88">
        <f t="shared" si="64"/>
        <v>0</v>
      </c>
      <c r="T203" s="173"/>
      <c r="U203" s="94">
        <f t="shared" si="65"/>
        <v>0</v>
      </c>
    </row>
    <row r="204" spans="1:21" ht="15">
      <c r="A204" s="171" t="s">
        <v>259</v>
      </c>
      <c r="B204" s="157"/>
      <c r="C204" s="170">
        <v>0</v>
      </c>
      <c r="D204" s="170">
        <f>1*B204</f>
        <v>0</v>
      </c>
      <c r="E204" s="175">
        <f>1*B204</f>
        <v>0</v>
      </c>
      <c r="F204" s="78"/>
      <c r="G204" s="80"/>
      <c r="H204" s="80"/>
      <c r="I204" s="81"/>
      <c r="J204" s="81"/>
      <c r="K204" s="82">
        <v>20</v>
      </c>
      <c r="L204" s="173"/>
      <c r="M204" s="94">
        <f t="shared" si="61"/>
        <v>0</v>
      </c>
      <c r="N204" s="85"/>
      <c r="O204" s="88">
        <f t="shared" si="62"/>
        <v>0</v>
      </c>
      <c r="P204" s="173"/>
      <c r="Q204" s="94">
        <f t="shared" si="63"/>
        <v>0</v>
      </c>
      <c r="R204" s="174"/>
      <c r="S204" s="88">
        <f t="shared" si="64"/>
        <v>0</v>
      </c>
      <c r="T204" s="173"/>
      <c r="U204" s="94">
        <f t="shared" si="65"/>
        <v>0</v>
      </c>
    </row>
    <row r="205" spans="1:21" ht="15">
      <c r="A205" s="171" t="s">
        <v>260</v>
      </c>
      <c r="B205" s="157"/>
      <c r="C205" s="170">
        <f>1*B205</f>
        <v>0</v>
      </c>
      <c r="D205" s="170">
        <f>9*B205</f>
        <v>0</v>
      </c>
      <c r="E205" s="175">
        <f>1*B205</f>
        <v>0</v>
      </c>
      <c r="F205" s="78"/>
      <c r="G205" s="80"/>
      <c r="H205" s="80"/>
      <c r="I205" s="81"/>
      <c r="J205" s="81"/>
      <c r="K205" s="82">
        <v>90</v>
      </c>
      <c r="L205" s="173"/>
      <c r="M205" s="94">
        <f t="shared" si="61"/>
        <v>0</v>
      </c>
      <c r="N205" s="85"/>
      <c r="O205" s="88">
        <f t="shared" si="62"/>
        <v>0</v>
      </c>
      <c r="P205" s="173"/>
      <c r="Q205" s="94">
        <f t="shared" si="63"/>
        <v>0</v>
      </c>
      <c r="R205" s="174"/>
      <c r="S205" s="88">
        <f t="shared" si="64"/>
        <v>0</v>
      </c>
      <c r="T205" s="173"/>
      <c r="U205" s="94">
        <f t="shared" si="65"/>
        <v>0</v>
      </c>
    </row>
    <row r="206" spans="1:21" ht="15">
      <c r="A206" s="171" t="s">
        <v>261</v>
      </c>
      <c r="B206" s="157"/>
      <c r="C206" s="170">
        <v>0</v>
      </c>
      <c r="D206" s="170">
        <v>0</v>
      </c>
      <c r="E206" s="175">
        <f>10*B206</f>
        <v>0</v>
      </c>
      <c r="F206" s="78"/>
      <c r="G206" s="80"/>
      <c r="H206" s="80"/>
      <c r="I206" s="81"/>
      <c r="J206" s="81"/>
      <c r="K206" s="82">
        <v>40</v>
      </c>
      <c r="L206" s="173"/>
      <c r="M206" s="94">
        <f t="shared" si="61"/>
        <v>0</v>
      </c>
      <c r="N206" s="85"/>
      <c r="O206" s="88">
        <f t="shared" si="62"/>
        <v>0</v>
      </c>
      <c r="P206" s="173"/>
      <c r="Q206" s="94">
        <f t="shared" si="63"/>
        <v>0</v>
      </c>
      <c r="R206" s="174"/>
      <c r="S206" s="88">
        <f t="shared" si="64"/>
        <v>0</v>
      </c>
      <c r="T206" s="173"/>
      <c r="U206" s="94">
        <f t="shared" si="65"/>
        <v>0</v>
      </c>
    </row>
    <row r="207" spans="1:21" ht="15">
      <c r="A207" s="171" t="s">
        <v>262</v>
      </c>
      <c r="B207" s="157"/>
      <c r="C207" s="170">
        <v>0</v>
      </c>
      <c r="D207" s="170">
        <v>0</v>
      </c>
      <c r="E207" s="175">
        <f>10*B207</f>
        <v>0</v>
      </c>
      <c r="F207" s="78"/>
      <c r="G207" s="80"/>
      <c r="H207" s="80"/>
      <c r="I207" s="81"/>
      <c r="J207" s="81"/>
      <c r="K207" s="82">
        <v>45</v>
      </c>
      <c r="L207" s="173"/>
      <c r="M207" s="94">
        <f t="shared" si="61"/>
        <v>0</v>
      </c>
      <c r="N207" s="85"/>
      <c r="O207" s="88">
        <f t="shared" si="62"/>
        <v>0</v>
      </c>
      <c r="P207" s="173"/>
      <c r="Q207" s="94">
        <f t="shared" si="63"/>
        <v>0</v>
      </c>
      <c r="R207" s="174"/>
      <c r="S207" s="88">
        <f t="shared" si="64"/>
        <v>0</v>
      </c>
      <c r="T207" s="173"/>
      <c r="U207" s="94">
        <f t="shared" si="65"/>
        <v>0</v>
      </c>
    </row>
    <row r="208" spans="1:21" ht="15">
      <c r="A208" s="171" t="s">
        <v>263</v>
      </c>
      <c r="B208" s="157"/>
      <c r="C208" s="170">
        <v>0</v>
      </c>
      <c r="D208" s="170">
        <v>0</v>
      </c>
      <c r="E208" s="175">
        <f>12*B208</f>
        <v>0</v>
      </c>
      <c r="F208" s="78"/>
      <c r="G208" s="80"/>
      <c r="H208" s="80"/>
      <c r="I208" s="81"/>
      <c r="J208" s="81"/>
      <c r="K208" s="82">
        <v>50</v>
      </c>
      <c r="L208" s="173"/>
      <c r="M208" s="94">
        <f t="shared" si="61"/>
        <v>0</v>
      </c>
      <c r="N208" s="85"/>
      <c r="O208" s="88">
        <f t="shared" si="62"/>
        <v>0</v>
      </c>
      <c r="P208" s="173"/>
      <c r="Q208" s="94">
        <f t="shared" si="63"/>
        <v>0</v>
      </c>
      <c r="R208" s="174"/>
      <c r="S208" s="88">
        <f t="shared" si="64"/>
        <v>0</v>
      </c>
      <c r="T208" s="173"/>
      <c r="U208" s="94">
        <f t="shared" si="65"/>
        <v>0</v>
      </c>
    </row>
    <row r="209" spans="1:21" ht="15">
      <c r="A209" s="171" t="s">
        <v>264</v>
      </c>
      <c r="B209" s="157"/>
      <c r="C209" s="170">
        <f>3*B209</f>
        <v>0</v>
      </c>
      <c r="D209" s="170">
        <f>10*B209</f>
        <v>0</v>
      </c>
      <c r="E209" s="175">
        <f>27*B209</f>
        <v>0</v>
      </c>
      <c r="F209" s="78"/>
      <c r="G209" s="80"/>
      <c r="H209" s="80"/>
      <c r="I209" s="81"/>
      <c r="J209" s="81"/>
      <c r="K209" s="82">
        <v>210</v>
      </c>
      <c r="L209" s="173"/>
      <c r="M209" s="94">
        <f t="shared" si="61"/>
        <v>0</v>
      </c>
      <c r="N209" s="85"/>
      <c r="O209" s="88">
        <f t="shared" si="62"/>
        <v>0</v>
      </c>
      <c r="P209" s="173"/>
      <c r="Q209" s="94">
        <f t="shared" si="63"/>
        <v>0</v>
      </c>
      <c r="R209" s="174"/>
      <c r="S209" s="88">
        <f t="shared" si="64"/>
        <v>0</v>
      </c>
      <c r="T209" s="173"/>
      <c r="U209" s="94">
        <f t="shared" si="65"/>
        <v>0</v>
      </c>
    </row>
    <row r="210" spans="1:21" ht="15">
      <c r="A210" s="171" t="s">
        <v>265</v>
      </c>
      <c r="B210" s="157"/>
      <c r="C210" s="170">
        <f>3*B210</f>
        <v>0</v>
      </c>
      <c r="D210" s="170">
        <f>12*B210</f>
        <v>0</v>
      </c>
      <c r="E210" s="175">
        <f>29*B210</f>
        <v>0</v>
      </c>
      <c r="F210" s="78"/>
      <c r="G210" s="80"/>
      <c r="H210" s="80"/>
      <c r="I210" s="81"/>
      <c r="J210" s="81"/>
      <c r="K210" s="82">
        <v>235</v>
      </c>
      <c r="L210" s="173"/>
      <c r="M210" s="94">
        <f t="shared" si="61"/>
        <v>0</v>
      </c>
      <c r="N210" s="85"/>
      <c r="O210" s="88">
        <f t="shared" si="62"/>
        <v>0</v>
      </c>
      <c r="P210" s="173"/>
      <c r="Q210" s="94">
        <f t="shared" si="63"/>
        <v>0</v>
      </c>
      <c r="R210" s="174"/>
      <c r="S210" s="88">
        <f t="shared" si="64"/>
        <v>0</v>
      </c>
      <c r="T210" s="173"/>
      <c r="U210" s="94">
        <f t="shared" si="65"/>
        <v>0</v>
      </c>
    </row>
    <row r="211" spans="1:21" ht="15">
      <c r="A211" s="183" t="s">
        <v>266</v>
      </c>
      <c r="B211" s="184">
        <v>250</v>
      </c>
      <c r="C211" s="185">
        <f>1.5*B211/100</f>
        <v>3.75</v>
      </c>
      <c r="D211" s="186"/>
      <c r="E211" s="187">
        <f>5*B211/100</f>
        <v>12.5</v>
      </c>
      <c r="F211" s="78">
        <f>5*B211/100</f>
        <v>12.5</v>
      </c>
      <c r="G211" s="79"/>
      <c r="H211" s="79"/>
      <c r="I211" s="81">
        <f>30*B211/100</f>
        <v>75</v>
      </c>
      <c r="J211" s="81">
        <f>1*B211/100</f>
        <v>2.5</v>
      </c>
      <c r="K211" s="82">
        <v>26</v>
      </c>
      <c r="L211" s="93"/>
      <c r="M211" s="94">
        <f>K211*L211/100</f>
        <v>0</v>
      </c>
      <c r="N211" s="85"/>
      <c r="O211" s="88">
        <f>N211*K211/100</f>
        <v>0</v>
      </c>
      <c r="P211" s="93"/>
      <c r="Q211" s="94">
        <f>P211*K211/100</f>
        <v>0</v>
      </c>
      <c r="R211" s="87"/>
      <c r="S211" s="88">
        <f>R211*K211/100</f>
        <v>0</v>
      </c>
      <c r="T211" s="93"/>
      <c r="U211" s="94">
        <f>K211*T211/100</f>
        <v>0</v>
      </c>
    </row>
    <row r="212" spans="1:21" ht="15">
      <c r="A212" s="188" t="s">
        <v>267</v>
      </c>
      <c r="B212" s="184"/>
      <c r="C212" s="185">
        <f>2*B212</f>
        <v>0</v>
      </c>
      <c r="D212" s="189">
        <f>2.1*B212</f>
        <v>0</v>
      </c>
      <c r="E212" s="187">
        <f>3.9*B212</f>
        <v>0</v>
      </c>
      <c r="F212" s="78"/>
      <c r="G212" s="79"/>
      <c r="H212" s="79"/>
      <c r="I212" s="81"/>
      <c r="J212" s="81"/>
      <c r="K212" s="82">
        <v>43</v>
      </c>
      <c r="L212" s="93"/>
      <c r="M212" s="94">
        <f>K212*L212</f>
        <v>0</v>
      </c>
      <c r="N212" s="85"/>
      <c r="O212" s="88">
        <f>N212*K212</f>
        <v>0</v>
      </c>
      <c r="P212" s="93"/>
      <c r="Q212" s="94">
        <f>P212*K212</f>
        <v>0</v>
      </c>
      <c r="R212" s="87"/>
      <c r="S212" s="88">
        <f>R212*K212</f>
        <v>0</v>
      </c>
      <c r="T212" s="93"/>
      <c r="U212" s="94">
        <f>K212*T212</f>
        <v>0</v>
      </c>
    </row>
    <row r="213" spans="1:21" ht="15">
      <c r="A213" s="188" t="s">
        <v>268</v>
      </c>
      <c r="B213" s="184"/>
      <c r="C213" s="185">
        <f>2.7*B213</f>
        <v>0</v>
      </c>
      <c r="D213" s="189">
        <f>8.4*B213</f>
        <v>0</v>
      </c>
      <c r="E213" s="187">
        <f>6.3*B213</f>
        <v>0</v>
      </c>
      <c r="F213" s="78">
        <f>1.8*B213</f>
        <v>0</v>
      </c>
      <c r="G213" s="79"/>
      <c r="H213" s="80">
        <f>4*B213</f>
        <v>0</v>
      </c>
      <c r="I213" s="81"/>
      <c r="J213" s="81"/>
      <c r="K213" s="82">
        <v>116</v>
      </c>
      <c r="L213" s="93"/>
      <c r="M213" s="94">
        <f>K213*L213</f>
        <v>0</v>
      </c>
      <c r="N213" s="85"/>
      <c r="O213" s="88">
        <f>N213*K213</f>
        <v>0</v>
      </c>
      <c r="P213" s="93"/>
      <c r="Q213" s="94">
        <f>P213*K213</f>
        <v>0</v>
      </c>
      <c r="R213" s="87"/>
      <c r="S213" s="88">
        <f>R213*K213</f>
        <v>0</v>
      </c>
      <c r="T213" s="93"/>
      <c r="U213" s="94">
        <f>K213*T213</f>
        <v>0</v>
      </c>
    </row>
    <row r="214" spans="1:21" ht="15">
      <c r="A214" s="188" t="s">
        <v>269</v>
      </c>
      <c r="B214" s="184"/>
      <c r="C214" s="185">
        <f>3.7*B214</f>
        <v>0</v>
      </c>
      <c r="D214" s="189">
        <f>5.3*B214</f>
        <v>0</v>
      </c>
      <c r="E214" s="187">
        <f>6.2*B214</f>
        <v>0</v>
      </c>
      <c r="F214" s="78">
        <f>3.9*B214</f>
        <v>0</v>
      </c>
      <c r="G214" s="79"/>
      <c r="H214" s="80">
        <f>3.4*B214</f>
        <v>0</v>
      </c>
      <c r="I214" s="81"/>
      <c r="J214" s="81"/>
      <c r="K214" s="82">
        <v>92</v>
      </c>
      <c r="L214" s="93"/>
      <c r="M214" s="94">
        <f>K214*L214</f>
        <v>0</v>
      </c>
      <c r="N214" s="85"/>
      <c r="O214" s="88">
        <f>N214*K214</f>
        <v>0</v>
      </c>
      <c r="P214" s="93"/>
      <c r="Q214" s="94">
        <f>P214*K214</f>
        <v>0</v>
      </c>
      <c r="R214" s="87"/>
      <c r="S214" s="88">
        <f>R214*K214</f>
        <v>0</v>
      </c>
      <c r="T214" s="93"/>
      <c r="U214" s="94">
        <f>K214*T214</f>
        <v>0</v>
      </c>
    </row>
    <row r="215" spans="1:21" ht="15">
      <c r="A215" s="188" t="s">
        <v>270</v>
      </c>
      <c r="B215" s="184"/>
      <c r="C215" s="185">
        <f>1.5*B215</f>
        <v>0</v>
      </c>
      <c r="D215" s="189">
        <f>5.8*B215</f>
        <v>0</v>
      </c>
      <c r="E215" s="187">
        <f>3.5*B215</f>
        <v>0</v>
      </c>
      <c r="F215" s="78">
        <f>3.5*B215</f>
        <v>0</v>
      </c>
      <c r="G215" s="79"/>
      <c r="H215" s="80">
        <f>0.7*B215</f>
        <v>0</v>
      </c>
      <c r="I215" s="81"/>
      <c r="J215" s="81"/>
      <c r="K215" s="82">
        <v>78</v>
      </c>
      <c r="L215" s="93"/>
      <c r="M215" s="94">
        <f>K215*L215</f>
        <v>0</v>
      </c>
      <c r="N215" s="85"/>
      <c r="O215" s="88">
        <f>N215*K215</f>
        <v>0</v>
      </c>
      <c r="P215" s="93"/>
      <c r="Q215" s="94">
        <f>P215*K215</f>
        <v>0</v>
      </c>
      <c r="R215" s="87"/>
      <c r="S215" s="88">
        <f>R215*K215</f>
        <v>0</v>
      </c>
      <c r="T215" s="93"/>
      <c r="U215" s="94">
        <f>K215*T215</f>
        <v>0</v>
      </c>
    </row>
    <row r="216" spans="1:21" ht="15">
      <c r="A216" s="188" t="s">
        <v>271</v>
      </c>
      <c r="B216" s="184"/>
      <c r="C216" s="185">
        <f>1*B216/100</f>
        <v>0</v>
      </c>
      <c r="D216" s="189">
        <f>0.2*B216/100</f>
        <v>0</v>
      </c>
      <c r="E216" s="187">
        <f>1.8*B216/100</f>
        <v>0</v>
      </c>
      <c r="F216" s="78">
        <f>1.7*B216/100</f>
        <v>0</v>
      </c>
      <c r="G216" s="79"/>
      <c r="H216" s="79"/>
      <c r="I216" s="81"/>
      <c r="J216" s="81"/>
      <c r="K216" s="82">
        <v>13</v>
      </c>
      <c r="L216" s="93"/>
      <c r="M216" s="94">
        <f aca="true" t="shared" si="66" ref="M216:M232">K216*L216/100</f>
        <v>0</v>
      </c>
      <c r="N216" s="85"/>
      <c r="O216" s="88">
        <f aca="true" t="shared" si="67" ref="O216:O232">N216*K216/100</f>
        <v>0</v>
      </c>
      <c r="P216" s="93"/>
      <c r="Q216" s="94">
        <f aca="true" t="shared" si="68" ref="Q216:Q232">P216*K216/100</f>
        <v>0</v>
      </c>
      <c r="R216" s="87"/>
      <c r="S216" s="88">
        <f aca="true" t="shared" si="69" ref="S216:S227">R216*K216/100</f>
        <v>0</v>
      </c>
      <c r="T216" s="93"/>
      <c r="U216" s="94">
        <f aca="true" t="shared" si="70" ref="U216:U227">K216*T216/100</f>
        <v>0</v>
      </c>
    </row>
    <row r="217" spans="1:21" ht="15">
      <c r="A217" s="188" t="s">
        <v>272</v>
      </c>
      <c r="B217" s="184"/>
      <c r="C217" s="185">
        <f>0.4*B217/100</f>
        <v>0</v>
      </c>
      <c r="D217" s="189">
        <f>0.5*B217/100</f>
        <v>0</v>
      </c>
      <c r="E217" s="187">
        <f>5.35*B217/100</f>
        <v>0</v>
      </c>
      <c r="F217" s="78">
        <f>1.4*B217/100</f>
        <v>0</v>
      </c>
      <c r="G217" s="80">
        <f>3.95*B217/100</f>
        <v>0</v>
      </c>
      <c r="H217" s="80">
        <f>0.25*B217/100</f>
        <v>0</v>
      </c>
      <c r="I217" s="81"/>
      <c r="J217" s="81"/>
      <c r="K217" s="82">
        <v>27.5</v>
      </c>
      <c r="L217" s="93"/>
      <c r="M217" s="94">
        <f t="shared" si="66"/>
        <v>0</v>
      </c>
      <c r="N217" s="85"/>
      <c r="O217" s="88">
        <f t="shared" si="67"/>
        <v>0</v>
      </c>
      <c r="P217" s="93"/>
      <c r="Q217" s="94">
        <f t="shared" si="68"/>
        <v>0</v>
      </c>
      <c r="R217" s="87"/>
      <c r="S217" s="88">
        <f t="shared" si="69"/>
        <v>0</v>
      </c>
      <c r="T217" s="93"/>
      <c r="U217" s="94">
        <f t="shared" si="70"/>
        <v>0</v>
      </c>
    </row>
    <row r="218" spans="1:21" ht="15">
      <c r="A218" s="188" t="s">
        <v>273</v>
      </c>
      <c r="B218" s="184"/>
      <c r="C218" s="185">
        <f>0.55*B218/100</f>
        <v>0</v>
      </c>
      <c r="D218" s="189">
        <f>0.95*B218/100</f>
        <v>0</v>
      </c>
      <c r="E218" s="187">
        <f>6.9*B218/100</f>
        <v>0</v>
      </c>
      <c r="F218" s="78">
        <f>3.35*B218/100</f>
        <v>0</v>
      </c>
      <c r="G218" s="80">
        <f>3.55*B218/100</f>
        <v>0</v>
      </c>
      <c r="H218" s="80">
        <v>0</v>
      </c>
      <c r="I218" s="81"/>
      <c r="J218" s="81"/>
      <c r="K218" s="82">
        <v>38.5</v>
      </c>
      <c r="L218" s="93"/>
      <c r="M218" s="94">
        <f t="shared" si="66"/>
        <v>0</v>
      </c>
      <c r="N218" s="85"/>
      <c r="O218" s="88">
        <f t="shared" si="67"/>
        <v>0</v>
      </c>
      <c r="P218" s="93"/>
      <c r="Q218" s="94">
        <f t="shared" si="68"/>
        <v>0</v>
      </c>
      <c r="R218" s="87"/>
      <c r="S218" s="88">
        <f t="shared" si="69"/>
        <v>0</v>
      </c>
      <c r="T218" s="93"/>
      <c r="U218" s="94">
        <f t="shared" si="70"/>
        <v>0</v>
      </c>
    </row>
    <row r="219" spans="1:21" ht="15">
      <c r="A219" s="188" t="s">
        <v>274</v>
      </c>
      <c r="B219" s="184"/>
      <c r="C219" s="185">
        <f>0.65*B219/100</f>
        <v>0</v>
      </c>
      <c r="D219" s="189">
        <f>0.7*B219/100</f>
        <v>0</v>
      </c>
      <c r="E219" s="187">
        <f>6.8*B219/100</f>
        <v>0</v>
      </c>
      <c r="F219" s="78">
        <v>0</v>
      </c>
      <c r="G219" s="80">
        <v>0</v>
      </c>
      <c r="H219" s="80">
        <f>0.3*B219/100</f>
        <v>0</v>
      </c>
      <c r="I219" s="81"/>
      <c r="J219" s="81"/>
      <c r="K219" s="82">
        <v>36</v>
      </c>
      <c r="L219" s="93"/>
      <c r="M219" s="94">
        <f t="shared" si="66"/>
        <v>0</v>
      </c>
      <c r="N219" s="85"/>
      <c r="O219" s="88">
        <f t="shared" si="67"/>
        <v>0</v>
      </c>
      <c r="P219" s="93"/>
      <c r="Q219" s="94">
        <f t="shared" si="68"/>
        <v>0</v>
      </c>
      <c r="R219" s="87"/>
      <c r="S219" s="88">
        <f t="shared" si="69"/>
        <v>0</v>
      </c>
      <c r="T219" s="93"/>
      <c r="U219" s="94">
        <f t="shared" si="70"/>
        <v>0</v>
      </c>
    </row>
    <row r="220" spans="1:21" ht="15">
      <c r="A220" s="188" t="s">
        <v>275</v>
      </c>
      <c r="B220" s="184"/>
      <c r="C220" s="185">
        <f>0.85*B220/100</f>
        <v>0</v>
      </c>
      <c r="D220" s="189">
        <f>0.2*B220/100</f>
        <v>0</v>
      </c>
      <c r="E220" s="187">
        <f>5.6*B220/100</f>
        <v>0</v>
      </c>
      <c r="F220" s="78">
        <f>0.4*B220/100</f>
        <v>0</v>
      </c>
      <c r="G220" s="80">
        <f>5.2*B220/100</f>
        <v>0</v>
      </c>
      <c r="H220" s="80">
        <f>0.1*B220/100</f>
        <v>0</v>
      </c>
      <c r="I220" s="81"/>
      <c r="J220" s="81"/>
      <c r="K220" s="82">
        <v>27.5</v>
      </c>
      <c r="L220" s="93"/>
      <c r="M220" s="94">
        <f t="shared" si="66"/>
        <v>0</v>
      </c>
      <c r="N220" s="85"/>
      <c r="O220" s="88">
        <f t="shared" si="67"/>
        <v>0</v>
      </c>
      <c r="P220" s="93"/>
      <c r="Q220" s="94">
        <f t="shared" si="68"/>
        <v>0</v>
      </c>
      <c r="R220" s="87"/>
      <c r="S220" s="88">
        <f t="shared" si="69"/>
        <v>0</v>
      </c>
      <c r="T220" s="93"/>
      <c r="U220" s="94">
        <f t="shared" si="70"/>
        <v>0</v>
      </c>
    </row>
    <row r="221" spans="1:21" ht="15">
      <c r="A221" s="188" t="s">
        <v>276</v>
      </c>
      <c r="B221" s="184"/>
      <c r="C221" s="185">
        <f>1*B221</f>
        <v>0</v>
      </c>
      <c r="D221" s="189">
        <f>0.1*B221/100</f>
        <v>0</v>
      </c>
      <c r="E221" s="187">
        <f>4.25*B221/100</f>
        <v>0</v>
      </c>
      <c r="F221" s="78">
        <f>0.8*B221</f>
        <v>0</v>
      </c>
      <c r="G221" s="80">
        <v>0</v>
      </c>
      <c r="H221" s="80">
        <v>0</v>
      </c>
      <c r="I221" s="81"/>
      <c r="J221" s="81"/>
      <c r="K221" s="82">
        <v>23.5</v>
      </c>
      <c r="L221" s="93"/>
      <c r="M221" s="94">
        <f t="shared" si="66"/>
        <v>0</v>
      </c>
      <c r="N221" s="85"/>
      <c r="O221" s="88">
        <f t="shared" si="67"/>
        <v>0</v>
      </c>
      <c r="P221" s="93"/>
      <c r="Q221" s="94">
        <f t="shared" si="68"/>
        <v>0</v>
      </c>
      <c r="R221" s="87"/>
      <c r="S221" s="88">
        <f t="shared" si="69"/>
        <v>0</v>
      </c>
      <c r="T221" s="93"/>
      <c r="U221" s="94">
        <f t="shared" si="70"/>
        <v>0</v>
      </c>
    </row>
    <row r="222" spans="1:21" ht="15">
      <c r="A222" s="188" t="s">
        <v>277</v>
      </c>
      <c r="B222" s="184"/>
      <c r="C222" s="185">
        <f>0.7*B222/100</f>
        <v>0</v>
      </c>
      <c r="D222" s="189">
        <f>0.1*B222/100</f>
        <v>0</v>
      </c>
      <c r="E222" s="187">
        <f>4.05*B222/100</f>
        <v>0</v>
      </c>
      <c r="F222" s="78">
        <f>0.45*B222/100</f>
        <v>0</v>
      </c>
      <c r="G222" s="80">
        <v>0</v>
      </c>
      <c r="H222" s="80">
        <v>0</v>
      </c>
      <c r="I222" s="81"/>
      <c r="J222" s="81"/>
      <c r="K222" s="82">
        <f>21.5</f>
        <v>21.5</v>
      </c>
      <c r="L222" s="93"/>
      <c r="M222" s="94">
        <f t="shared" si="66"/>
        <v>0</v>
      </c>
      <c r="N222" s="85"/>
      <c r="O222" s="88">
        <f t="shared" si="67"/>
        <v>0</v>
      </c>
      <c r="P222" s="93"/>
      <c r="Q222" s="94">
        <f t="shared" si="68"/>
        <v>0</v>
      </c>
      <c r="R222" s="87"/>
      <c r="S222" s="88">
        <f t="shared" si="69"/>
        <v>0</v>
      </c>
      <c r="T222" s="93"/>
      <c r="U222" s="94">
        <f t="shared" si="70"/>
        <v>0</v>
      </c>
    </row>
    <row r="223" spans="1:21" ht="15">
      <c r="A223" s="188" t="s">
        <v>278</v>
      </c>
      <c r="B223" s="184"/>
      <c r="C223" s="185">
        <f>0.8*B223/100</f>
        <v>0</v>
      </c>
      <c r="D223" s="189">
        <f>5.2*B223/100</f>
        <v>0</v>
      </c>
      <c r="E223" s="187">
        <f>5.6*B223/100</f>
        <v>0</v>
      </c>
      <c r="F223" s="78">
        <f>3.24*B223/100</f>
        <v>0</v>
      </c>
      <c r="G223" s="80">
        <f>2.36*B223/100</f>
        <v>0</v>
      </c>
      <c r="H223" s="80">
        <f>2.92*B223/100</f>
        <v>0</v>
      </c>
      <c r="I223" s="81"/>
      <c r="J223" s="81"/>
      <c r="K223" s="82">
        <v>76</v>
      </c>
      <c r="L223" s="93"/>
      <c r="M223" s="94">
        <f t="shared" si="66"/>
        <v>0</v>
      </c>
      <c r="N223" s="85"/>
      <c r="O223" s="88">
        <f t="shared" si="67"/>
        <v>0</v>
      </c>
      <c r="P223" s="93"/>
      <c r="Q223" s="94">
        <f t="shared" si="68"/>
        <v>0</v>
      </c>
      <c r="R223" s="87"/>
      <c r="S223" s="88">
        <f t="shared" si="69"/>
        <v>0</v>
      </c>
      <c r="T223" s="93"/>
      <c r="U223" s="94">
        <f t="shared" si="70"/>
        <v>0</v>
      </c>
    </row>
    <row r="224" spans="1:21" ht="15">
      <c r="A224" s="188" t="s">
        <v>279</v>
      </c>
      <c r="B224" s="184"/>
      <c r="C224" s="185">
        <f>1*B224/100</f>
        <v>0</v>
      </c>
      <c r="D224" s="189">
        <f>2.5*B224/100</f>
        <v>0</v>
      </c>
      <c r="E224" s="187">
        <f>4.8*B224/100</f>
        <v>0</v>
      </c>
      <c r="F224" s="78">
        <f>1.2*B224/100</f>
        <v>0</v>
      </c>
      <c r="G224" s="80">
        <f>3.6*B224/100</f>
        <v>0</v>
      </c>
      <c r="H224" s="80">
        <f>1.4*B224/100</f>
        <v>0</v>
      </c>
      <c r="I224" s="81"/>
      <c r="J224" s="81"/>
      <c r="K224" s="82">
        <f>45.6</f>
        <v>45.6</v>
      </c>
      <c r="L224" s="93"/>
      <c r="M224" s="94">
        <f t="shared" si="66"/>
        <v>0</v>
      </c>
      <c r="N224" s="85"/>
      <c r="O224" s="88">
        <f t="shared" si="67"/>
        <v>0</v>
      </c>
      <c r="P224" s="93"/>
      <c r="Q224" s="94">
        <f t="shared" si="68"/>
        <v>0</v>
      </c>
      <c r="R224" s="87"/>
      <c r="S224" s="88">
        <f t="shared" si="69"/>
        <v>0</v>
      </c>
      <c r="T224" s="93"/>
      <c r="U224" s="94">
        <f t="shared" si="70"/>
        <v>0</v>
      </c>
    </row>
    <row r="225" spans="1:21" ht="15">
      <c r="A225" s="188" t="s">
        <v>280</v>
      </c>
      <c r="B225" s="184"/>
      <c r="C225" s="185">
        <f>2.6*B225/100</f>
        <v>0</v>
      </c>
      <c r="D225" s="189">
        <f>1*B225/100</f>
        <v>0</v>
      </c>
      <c r="E225" s="187">
        <f>2.9*B225/100</f>
        <v>0</v>
      </c>
      <c r="F225" s="78">
        <f>0.5*B225/100</f>
        <v>0</v>
      </c>
      <c r="G225" s="80">
        <f>2.4*B225/100</f>
        <v>0</v>
      </c>
      <c r="H225" s="80">
        <f>0.3*B225/100</f>
        <v>0</v>
      </c>
      <c r="I225" s="81"/>
      <c r="J225" s="81"/>
      <c r="K225" s="82">
        <v>31</v>
      </c>
      <c r="L225" s="93"/>
      <c r="M225" s="94">
        <f t="shared" si="66"/>
        <v>0</v>
      </c>
      <c r="N225" s="85"/>
      <c r="O225" s="88">
        <f t="shared" si="67"/>
        <v>0</v>
      </c>
      <c r="P225" s="93"/>
      <c r="Q225" s="94">
        <f t="shared" si="68"/>
        <v>0</v>
      </c>
      <c r="R225" s="87"/>
      <c r="S225" s="88">
        <f t="shared" si="69"/>
        <v>0</v>
      </c>
      <c r="T225" s="93"/>
      <c r="U225" s="94">
        <f t="shared" si="70"/>
        <v>0</v>
      </c>
    </row>
    <row r="226" spans="1:21" ht="15">
      <c r="A226" s="188" t="s">
        <v>281</v>
      </c>
      <c r="B226" s="184"/>
      <c r="C226" s="185">
        <f>0.7*B226/100</f>
        <v>0</v>
      </c>
      <c r="D226" s="189">
        <f>1.8*B226/100</f>
        <v>0</v>
      </c>
      <c r="E226" s="187">
        <f>4.4*B226/100</f>
        <v>0</v>
      </c>
      <c r="F226" s="78">
        <f>1.3*B226/100</f>
        <v>0</v>
      </c>
      <c r="G226" s="80">
        <f>3.1*B226/100</f>
        <v>0</v>
      </c>
      <c r="H226" s="80">
        <f>1.1*B226/100</f>
        <v>0</v>
      </c>
      <c r="I226" s="81"/>
      <c r="J226" s="81"/>
      <c r="K226" s="82">
        <v>36.6</v>
      </c>
      <c r="L226" s="93"/>
      <c r="M226" s="94">
        <f t="shared" si="66"/>
        <v>0</v>
      </c>
      <c r="N226" s="85"/>
      <c r="O226" s="88">
        <f t="shared" si="67"/>
        <v>0</v>
      </c>
      <c r="P226" s="93"/>
      <c r="Q226" s="94">
        <f t="shared" si="68"/>
        <v>0</v>
      </c>
      <c r="R226" s="87"/>
      <c r="S226" s="88">
        <f t="shared" si="69"/>
        <v>0</v>
      </c>
      <c r="T226" s="93"/>
      <c r="U226" s="94">
        <f t="shared" si="70"/>
        <v>0</v>
      </c>
    </row>
    <row r="227" spans="1:21" ht="15">
      <c r="A227" s="188" t="s">
        <v>282</v>
      </c>
      <c r="B227" s="184"/>
      <c r="C227" s="185">
        <f>1*B227/100</f>
        <v>0</v>
      </c>
      <c r="D227" s="189">
        <f>2.3*B227/100</f>
        <v>0</v>
      </c>
      <c r="E227" s="187">
        <f>3.4*B227/100</f>
        <v>0</v>
      </c>
      <c r="F227" s="78">
        <f>1.4*B227/100</f>
        <v>0</v>
      </c>
      <c r="G227" s="80">
        <f>2*B227/100</f>
        <v>0</v>
      </c>
      <c r="H227" s="80">
        <f>1.2*B227/100</f>
        <v>0</v>
      </c>
      <c r="I227" s="81"/>
      <c r="J227" s="81"/>
      <c r="K227" s="82">
        <v>38.3</v>
      </c>
      <c r="L227" s="93"/>
      <c r="M227" s="94">
        <f t="shared" si="66"/>
        <v>0</v>
      </c>
      <c r="N227" s="85"/>
      <c r="O227" s="88">
        <f t="shared" si="67"/>
        <v>0</v>
      </c>
      <c r="P227" s="93"/>
      <c r="Q227" s="94">
        <f t="shared" si="68"/>
        <v>0</v>
      </c>
      <c r="R227" s="87"/>
      <c r="S227" s="88">
        <f t="shared" si="69"/>
        <v>0</v>
      </c>
      <c r="T227" s="93"/>
      <c r="U227" s="94">
        <f t="shared" si="70"/>
        <v>0</v>
      </c>
    </row>
    <row r="228" spans="1:21" ht="15">
      <c r="A228" s="183" t="s">
        <v>283</v>
      </c>
      <c r="B228" s="184">
        <v>300</v>
      </c>
      <c r="C228" s="186"/>
      <c r="D228" s="186"/>
      <c r="E228" s="187">
        <f>12*B228/100</f>
        <v>36</v>
      </c>
      <c r="F228" s="78">
        <f>12*B228/100</f>
        <v>36</v>
      </c>
      <c r="G228" s="79"/>
      <c r="H228" s="79"/>
      <c r="I228" s="81">
        <f>10*B228/100</f>
        <v>30</v>
      </c>
      <c r="J228" s="81">
        <f>0.5*B228/100</f>
        <v>1.5</v>
      </c>
      <c r="K228" s="82">
        <v>48</v>
      </c>
      <c r="L228" s="93"/>
      <c r="M228" s="94">
        <f t="shared" si="66"/>
        <v>0</v>
      </c>
      <c r="N228" s="85"/>
      <c r="O228" s="88">
        <f t="shared" si="67"/>
        <v>0</v>
      </c>
      <c r="P228" s="93"/>
      <c r="Q228" s="94">
        <f t="shared" si="68"/>
        <v>0</v>
      </c>
      <c r="R228" s="95"/>
      <c r="S228" s="88">
        <f>R228*$K$228/100</f>
        <v>0</v>
      </c>
      <c r="T228" s="93"/>
      <c r="U228" s="94">
        <f>T228*K228/100</f>
        <v>0</v>
      </c>
    </row>
    <row r="229" spans="1:21" ht="15">
      <c r="A229" s="190" t="s">
        <v>284</v>
      </c>
      <c r="B229" s="184"/>
      <c r="C229" s="189">
        <f>24*B229/100</f>
        <v>0</v>
      </c>
      <c r="D229" s="189">
        <f>51.2*B229/100</f>
        <v>0</v>
      </c>
      <c r="E229" s="191">
        <f>12*B229/100</f>
        <v>0</v>
      </c>
      <c r="F229" s="78">
        <f>7.6*B229/100</f>
        <v>0</v>
      </c>
      <c r="G229" s="80">
        <f>4.4*B229/100</f>
        <v>0</v>
      </c>
      <c r="H229" s="80">
        <f>6.4*B229/100</f>
        <v>0</v>
      </c>
      <c r="I229" s="79"/>
      <c r="J229" s="79"/>
      <c r="K229" s="82">
        <v>604</v>
      </c>
      <c r="L229" s="93"/>
      <c r="M229" s="94">
        <f t="shared" si="66"/>
        <v>0</v>
      </c>
      <c r="N229" s="85"/>
      <c r="O229" s="88">
        <f t="shared" si="67"/>
        <v>0</v>
      </c>
      <c r="P229" s="93"/>
      <c r="Q229" s="94">
        <f t="shared" si="68"/>
        <v>0</v>
      </c>
      <c r="R229" s="95"/>
      <c r="S229" s="88">
        <f>R229*$K$228/100</f>
        <v>0</v>
      </c>
      <c r="T229" s="93"/>
      <c r="U229" s="94">
        <f>T229*K229/100</f>
        <v>0</v>
      </c>
    </row>
    <row r="230" spans="1:21" ht="15">
      <c r="A230" s="190" t="s">
        <v>285</v>
      </c>
      <c r="B230" s="184"/>
      <c r="C230" s="189">
        <f>26.8*B230/100</f>
        <v>0</v>
      </c>
      <c r="D230" s="189">
        <f>44*B230/100</f>
        <v>0</v>
      </c>
      <c r="E230" s="191">
        <f>22.8*B230/100</f>
        <v>0</v>
      </c>
      <c r="F230" s="78"/>
      <c r="G230" s="80"/>
      <c r="H230" s="80"/>
      <c r="I230" s="79"/>
      <c r="J230" s="79"/>
      <c r="K230" s="82">
        <v>597</v>
      </c>
      <c r="L230" s="93"/>
      <c r="M230" s="94">
        <f t="shared" si="66"/>
        <v>0</v>
      </c>
      <c r="N230" s="85"/>
      <c r="O230" s="88">
        <f t="shared" si="67"/>
        <v>0</v>
      </c>
      <c r="P230" s="93"/>
      <c r="Q230" s="94">
        <f t="shared" si="68"/>
        <v>0</v>
      </c>
      <c r="R230" s="95"/>
      <c r="S230" s="88">
        <f>R230*K230/100</f>
        <v>0</v>
      </c>
      <c r="T230" s="93"/>
      <c r="U230" s="94">
        <f>T230*K230/100</f>
        <v>0</v>
      </c>
    </row>
    <row r="231" spans="1:21" ht="15">
      <c r="A231" s="190" t="s">
        <v>286</v>
      </c>
      <c r="B231" s="184"/>
      <c r="C231" s="189">
        <f>13.4*B231/100</f>
        <v>0</v>
      </c>
      <c r="D231" s="189">
        <f>49*B231/100</f>
        <v>0</v>
      </c>
      <c r="E231" s="191">
        <f>20.6*B231/100</f>
        <v>0</v>
      </c>
      <c r="F231" s="78"/>
      <c r="G231" s="80"/>
      <c r="H231" s="80"/>
      <c r="I231" s="79"/>
      <c r="J231" s="79"/>
      <c r="K231" s="82">
        <v>597</v>
      </c>
      <c r="L231" s="93"/>
      <c r="M231" s="94">
        <f t="shared" si="66"/>
        <v>0</v>
      </c>
      <c r="N231" s="85"/>
      <c r="O231" s="88">
        <f t="shared" si="67"/>
        <v>0</v>
      </c>
      <c r="P231" s="93"/>
      <c r="Q231" s="94">
        <f t="shared" si="68"/>
        <v>0</v>
      </c>
      <c r="R231" s="95"/>
      <c r="S231" s="88">
        <f>R231*K231/100</f>
        <v>0</v>
      </c>
      <c r="T231" s="93"/>
      <c r="U231" s="94">
        <f>T231*K231/100</f>
        <v>0</v>
      </c>
    </row>
    <row r="232" spans="1:21" ht="15">
      <c r="A232" s="190" t="s">
        <v>287</v>
      </c>
      <c r="B232" s="184"/>
      <c r="C232" s="189">
        <f>12.6*B232/100</f>
        <v>0</v>
      </c>
      <c r="D232" s="189">
        <f>65*B232/100</f>
        <v>0</v>
      </c>
      <c r="E232" s="191">
        <f>3.6*B232/100</f>
        <v>0</v>
      </c>
      <c r="F232" s="78"/>
      <c r="G232" s="80"/>
      <c r="H232" s="80"/>
      <c r="I232" s="81"/>
      <c r="J232" s="81"/>
      <c r="K232" s="82">
        <v>650</v>
      </c>
      <c r="L232" s="93"/>
      <c r="M232" s="94">
        <f t="shared" si="66"/>
        <v>0</v>
      </c>
      <c r="N232" s="85"/>
      <c r="O232" s="88">
        <f t="shared" si="67"/>
        <v>0</v>
      </c>
      <c r="P232" s="93"/>
      <c r="Q232" s="94">
        <f t="shared" si="68"/>
        <v>0</v>
      </c>
      <c r="R232" s="95"/>
      <c r="S232" s="88">
        <f>R232*K232/100</f>
        <v>0</v>
      </c>
      <c r="T232" s="93"/>
      <c r="U232" s="94">
        <f>T232*K232/100</f>
        <v>0</v>
      </c>
    </row>
    <row r="233" spans="1:21" ht="15">
      <c r="A233" s="190" t="s">
        <v>288</v>
      </c>
      <c r="B233" s="184"/>
      <c r="C233" s="189">
        <f>0.3*B233</f>
        <v>0</v>
      </c>
      <c r="D233" s="189">
        <f>0.5*B233</f>
        <v>0</v>
      </c>
      <c r="E233" s="187">
        <f>22*B233</f>
        <v>0</v>
      </c>
      <c r="F233" s="78">
        <f>21*B233</f>
        <v>0</v>
      </c>
      <c r="G233" s="79"/>
      <c r="H233" s="79"/>
      <c r="I233" s="81"/>
      <c r="J233" s="81"/>
      <c r="K233" s="82">
        <v>94</v>
      </c>
      <c r="L233" s="93"/>
      <c r="M233" s="94">
        <f>L233*K233</f>
        <v>0</v>
      </c>
      <c r="N233" s="85"/>
      <c r="O233" s="88">
        <f>N233*K233</f>
        <v>0</v>
      </c>
      <c r="P233" s="93"/>
      <c r="Q233" s="94">
        <f>P233*K233</f>
        <v>0</v>
      </c>
      <c r="R233" s="95"/>
      <c r="S233" s="88">
        <f>R233*K233</f>
        <v>0</v>
      </c>
      <c r="T233" s="93"/>
      <c r="U233" s="94">
        <f>T233*K233</f>
        <v>0</v>
      </c>
    </row>
    <row r="234" spans="1:21" ht="15">
      <c r="A234" s="190" t="s">
        <v>289</v>
      </c>
      <c r="B234" s="184"/>
      <c r="C234" s="189">
        <f>0.3*B234</f>
        <v>0</v>
      </c>
      <c r="D234" s="189">
        <f>0.6*B234</f>
        <v>0</v>
      </c>
      <c r="E234" s="187">
        <f>11.6*B234</f>
        <v>0</v>
      </c>
      <c r="F234" s="78">
        <f>10.7*B234</f>
        <v>0</v>
      </c>
      <c r="G234" s="79"/>
      <c r="H234" s="79"/>
      <c r="I234" s="81"/>
      <c r="J234" s="81"/>
      <c r="K234" s="82">
        <v>53</v>
      </c>
      <c r="L234" s="93"/>
      <c r="M234" s="94">
        <f>L234*K234</f>
        <v>0</v>
      </c>
      <c r="N234" s="85"/>
      <c r="O234" s="88">
        <f>N234*K234</f>
        <v>0</v>
      </c>
      <c r="P234" s="93"/>
      <c r="Q234" s="94">
        <f>P234*K234</f>
        <v>0</v>
      </c>
      <c r="R234" s="95"/>
      <c r="S234" s="88">
        <f>R234*K234</f>
        <v>0</v>
      </c>
      <c r="T234" s="93"/>
      <c r="U234" s="94">
        <f>T234*K234</f>
        <v>0</v>
      </c>
    </row>
    <row r="235" spans="1:21" ht="15">
      <c r="A235" s="190" t="s">
        <v>290</v>
      </c>
      <c r="B235" s="184"/>
      <c r="C235" s="189">
        <f>0.5*B235</f>
        <v>0</v>
      </c>
      <c r="D235" s="189">
        <f>0.5*B235</f>
        <v>0</v>
      </c>
      <c r="E235" s="187">
        <f>15*B235</f>
        <v>0</v>
      </c>
      <c r="F235" s="78">
        <f>14*B235</f>
        <v>0</v>
      </c>
      <c r="G235" s="79"/>
      <c r="H235" s="79"/>
      <c r="I235" s="81"/>
      <c r="J235" s="81"/>
      <c r="K235" s="82">
        <v>70</v>
      </c>
      <c r="L235" s="93"/>
      <c r="M235" s="94">
        <f>L235*K235</f>
        <v>0</v>
      </c>
      <c r="N235" s="85"/>
      <c r="O235" s="88">
        <f>N235*K235</f>
        <v>0</v>
      </c>
      <c r="P235" s="93"/>
      <c r="Q235" s="94">
        <f>P235*K235</f>
        <v>0</v>
      </c>
      <c r="R235" s="95"/>
      <c r="S235" s="88">
        <f>R235*K235</f>
        <v>0</v>
      </c>
      <c r="T235" s="93"/>
      <c r="U235" s="94">
        <f>T235*K235</f>
        <v>0</v>
      </c>
    </row>
    <row r="236" spans="1:21" ht="15">
      <c r="A236" s="129" t="s">
        <v>291</v>
      </c>
      <c r="B236" s="192"/>
      <c r="C236" s="186"/>
      <c r="D236" s="186"/>
      <c r="E236" s="193"/>
      <c r="F236" s="113"/>
      <c r="G236" s="79"/>
      <c r="H236" s="79"/>
      <c r="I236" s="79"/>
      <c r="J236" s="79"/>
      <c r="K236" s="133"/>
      <c r="L236" s="134"/>
      <c r="M236" s="135"/>
      <c r="N236" s="136"/>
      <c r="O236" s="137"/>
      <c r="P236" s="134"/>
      <c r="Q236" s="135"/>
      <c r="R236" s="138"/>
      <c r="S236" s="137"/>
      <c r="T236" s="134"/>
      <c r="U236" s="135"/>
    </row>
    <row r="237" spans="1:21" ht="15">
      <c r="A237" s="194" t="s">
        <v>292</v>
      </c>
      <c r="B237" s="195">
        <v>20</v>
      </c>
      <c r="C237" s="196"/>
      <c r="D237" s="197">
        <f>82.5*B237/100</f>
        <v>16.5</v>
      </c>
      <c r="E237" s="198"/>
      <c r="F237" s="113"/>
      <c r="G237" s="79"/>
      <c r="H237" s="80">
        <f>52.3*B237/100</f>
        <v>10.46</v>
      </c>
      <c r="I237" s="81">
        <f>15*B237/100</f>
        <v>3</v>
      </c>
      <c r="J237" s="81">
        <f>0.2*B237/100</f>
        <v>0.04</v>
      </c>
      <c r="K237" s="82">
        <v>742</v>
      </c>
      <c r="L237" s="93"/>
      <c r="M237" s="94">
        <f aca="true" t="shared" si="71" ref="M237:M242">742.5*L237/100</f>
        <v>0</v>
      </c>
      <c r="N237" s="85"/>
      <c r="O237" s="88">
        <f aca="true" t="shared" si="72" ref="O237:O245">N237*K237/100</f>
        <v>0</v>
      </c>
      <c r="P237" s="93"/>
      <c r="Q237" s="94">
        <f>P237*K237/100</f>
        <v>0</v>
      </c>
      <c r="R237" s="87"/>
      <c r="S237" s="88">
        <f aca="true" t="shared" si="73" ref="S237:S245">R237*K237/100</f>
        <v>0</v>
      </c>
      <c r="T237" s="93"/>
      <c r="U237" s="94">
        <f>T237*$K$237/100</f>
        <v>0</v>
      </c>
    </row>
    <row r="238" spans="1:21" ht="15">
      <c r="A238" s="194" t="s">
        <v>293</v>
      </c>
      <c r="B238" s="195">
        <v>20</v>
      </c>
      <c r="C238" s="196"/>
      <c r="D238" s="197">
        <f>(100*B238)/100</f>
        <v>20</v>
      </c>
      <c r="E238" s="198"/>
      <c r="F238" s="113"/>
      <c r="G238" s="79"/>
      <c r="H238" s="80">
        <f>10*B238/100</f>
        <v>2</v>
      </c>
      <c r="I238" s="79"/>
      <c r="J238" s="79"/>
      <c r="K238" s="82">
        <v>900</v>
      </c>
      <c r="L238" s="93"/>
      <c r="M238" s="94">
        <f t="shared" si="71"/>
        <v>0</v>
      </c>
      <c r="N238" s="85"/>
      <c r="O238" s="88">
        <f t="shared" si="72"/>
        <v>0</v>
      </c>
      <c r="P238" s="93"/>
      <c r="Q238" s="94">
        <f aca="true" t="shared" si="74" ref="Q238:Q245">K238*P238/100</f>
        <v>0</v>
      </c>
      <c r="R238" s="87"/>
      <c r="S238" s="88">
        <f t="shared" si="73"/>
        <v>0</v>
      </c>
      <c r="T238" s="93"/>
      <c r="U238" s="94">
        <f aca="true" t="shared" si="75" ref="U238:U245">K238*T238/100</f>
        <v>0</v>
      </c>
    </row>
    <row r="239" spans="1:21" ht="15">
      <c r="A239" s="199" t="s">
        <v>294</v>
      </c>
      <c r="B239" s="200"/>
      <c r="C239" s="201">
        <f>0.8*B239/100</f>
        <v>0</v>
      </c>
      <c r="D239" s="201">
        <f>82.5*B239/100</f>
        <v>0</v>
      </c>
      <c r="E239" s="202">
        <f>0.3*B239/100</f>
        <v>0</v>
      </c>
      <c r="F239" s="78">
        <f>0.3*B239/100</f>
        <v>0</v>
      </c>
      <c r="G239" s="80">
        <v>0</v>
      </c>
      <c r="H239" s="80">
        <f>18.5*B239/100</f>
        <v>0</v>
      </c>
      <c r="I239" s="81">
        <f>27*B239/100</f>
        <v>0</v>
      </c>
      <c r="J239" s="81">
        <v>0</v>
      </c>
      <c r="K239" s="82">
        <v>746.9</v>
      </c>
      <c r="L239" s="173"/>
      <c r="M239" s="94">
        <f t="shared" si="71"/>
        <v>0</v>
      </c>
      <c r="N239" s="85"/>
      <c r="O239" s="88">
        <f t="shared" si="72"/>
        <v>0</v>
      </c>
      <c r="P239" s="173"/>
      <c r="Q239" s="94">
        <f t="shared" si="74"/>
        <v>0</v>
      </c>
      <c r="R239" s="174"/>
      <c r="S239" s="88">
        <f t="shared" si="73"/>
        <v>0</v>
      </c>
      <c r="T239" s="173"/>
      <c r="U239" s="94">
        <f t="shared" si="75"/>
        <v>0</v>
      </c>
    </row>
    <row r="240" spans="1:21" ht="15">
      <c r="A240" s="199" t="s">
        <v>295</v>
      </c>
      <c r="B240" s="195"/>
      <c r="C240" s="201">
        <f>2.3*B240/100</f>
        <v>0</v>
      </c>
      <c r="D240" s="201">
        <f>30.5*B240/100</f>
        <v>0</v>
      </c>
      <c r="E240" s="202">
        <f>2.8*B240/100</f>
        <v>0</v>
      </c>
      <c r="F240" s="78">
        <f>2.8*B240/100</f>
        <v>0</v>
      </c>
      <c r="G240" s="80">
        <f>0*B240/100</f>
        <v>0</v>
      </c>
      <c r="H240" s="80">
        <f>19.3*B240/100</f>
        <v>0</v>
      </c>
      <c r="I240" s="81">
        <f>50*B240/100</f>
        <v>0</v>
      </c>
      <c r="J240" s="81">
        <f>0.2*B240/100</f>
        <v>0</v>
      </c>
      <c r="K240" s="203">
        <v>294.9</v>
      </c>
      <c r="L240" s="173"/>
      <c r="M240" s="94">
        <f t="shared" si="71"/>
        <v>0</v>
      </c>
      <c r="N240" s="85"/>
      <c r="O240" s="88">
        <f t="shared" si="72"/>
        <v>0</v>
      </c>
      <c r="P240" s="173"/>
      <c r="Q240" s="94">
        <f t="shared" si="74"/>
        <v>0</v>
      </c>
      <c r="R240" s="174"/>
      <c r="S240" s="88">
        <f t="shared" si="73"/>
        <v>0</v>
      </c>
      <c r="T240" s="173"/>
      <c r="U240" s="94">
        <f t="shared" si="75"/>
        <v>0</v>
      </c>
    </row>
    <row r="241" spans="1:21" ht="15">
      <c r="A241" s="199" t="s">
        <v>296</v>
      </c>
      <c r="B241" s="195"/>
      <c r="C241" s="201">
        <f>6.3*B241</f>
        <v>0</v>
      </c>
      <c r="D241" s="201">
        <f>5*B241/100</f>
        <v>0</v>
      </c>
      <c r="E241" s="202">
        <f>6.3*B241/100</f>
        <v>0</v>
      </c>
      <c r="F241" s="78"/>
      <c r="G241" s="80"/>
      <c r="H241" s="80"/>
      <c r="I241" s="81"/>
      <c r="J241" s="81"/>
      <c r="K241" s="203">
        <v>96</v>
      </c>
      <c r="L241" s="173"/>
      <c r="M241" s="94">
        <f t="shared" si="71"/>
        <v>0</v>
      </c>
      <c r="N241" s="85"/>
      <c r="O241" s="88">
        <f t="shared" si="72"/>
        <v>0</v>
      </c>
      <c r="P241" s="173"/>
      <c r="Q241" s="94">
        <f t="shared" si="74"/>
        <v>0</v>
      </c>
      <c r="R241" s="174"/>
      <c r="S241" s="88">
        <f t="shared" si="73"/>
        <v>0</v>
      </c>
      <c r="T241" s="173"/>
      <c r="U241" s="94">
        <f t="shared" si="75"/>
        <v>0</v>
      </c>
    </row>
    <row r="242" spans="1:21" ht="15">
      <c r="A242" s="199" t="s">
        <v>297</v>
      </c>
      <c r="B242" s="195"/>
      <c r="C242" s="201">
        <f>2.8*B242/100</f>
        <v>0</v>
      </c>
      <c r="D242" s="201">
        <f>5*B242/100</f>
        <v>0</v>
      </c>
      <c r="E242" s="202">
        <f>6.3*B242/100</f>
        <v>0</v>
      </c>
      <c r="F242" s="78"/>
      <c r="G242" s="80"/>
      <c r="H242" s="80"/>
      <c r="I242" s="81"/>
      <c r="J242" s="81"/>
      <c r="K242" s="203">
        <v>82</v>
      </c>
      <c r="L242" s="173"/>
      <c r="M242" s="94">
        <f t="shared" si="71"/>
        <v>0</v>
      </c>
      <c r="N242" s="85"/>
      <c r="O242" s="88">
        <f t="shared" si="72"/>
        <v>0</v>
      </c>
      <c r="P242" s="173"/>
      <c r="Q242" s="94">
        <f t="shared" si="74"/>
        <v>0</v>
      </c>
      <c r="R242" s="174"/>
      <c r="S242" s="88">
        <f t="shared" si="73"/>
        <v>0</v>
      </c>
      <c r="T242" s="173"/>
      <c r="U242" s="94">
        <f t="shared" si="75"/>
        <v>0</v>
      </c>
    </row>
    <row r="243" spans="1:21" ht="15">
      <c r="A243" s="204" t="s">
        <v>298</v>
      </c>
      <c r="B243" s="195"/>
      <c r="C243" s="201">
        <f>2.6*B243/100</f>
        <v>0</v>
      </c>
      <c r="D243" s="201">
        <f>15*B243/100</f>
        <v>0</v>
      </c>
      <c r="E243" s="202">
        <f>6*B243/100</f>
        <v>0</v>
      </c>
      <c r="F243" s="78"/>
      <c r="G243" s="80"/>
      <c r="H243" s="80"/>
      <c r="I243" s="81"/>
      <c r="J243" s="81"/>
      <c r="K243" s="203">
        <v>169</v>
      </c>
      <c r="L243" s="173"/>
      <c r="M243" s="94"/>
      <c r="N243" s="85"/>
      <c r="O243" s="88">
        <f t="shared" si="72"/>
        <v>0</v>
      </c>
      <c r="P243" s="173"/>
      <c r="Q243" s="94">
        <f t="shared" si="74"/>
        <v>0</v>
      </c>
      <c r="R243" s="174"/>
      <c r="S243" s="88">
        <f t="shared" si="73"/>
        <v>0</v>
      </c>
      <c r="T243" s="173"/>
      <c r="U243" s="94">
        <f t="shared" si="75"/>
        <v>0</v>
      </c>
    </row>
    <row r="244" spans="1:21" ht="15">
      <c r="A244" s="199" t="s">
        <v>299</v>
      </c>
      <c r="B244" s="195"/>
      <c r="C244" s="201">
        <f>2*B244/100</f>
        <v>0</v>
      </c>
      <c r="D244" s="201">
        <f>83.6*B244/100</f>
        <v>0</v>
      </c>
      <c r="E244" s="202">
        <f>0.3*B244/100</f>
        <v>0</v>
      </c>
      <c r="F244" s="78">
        <f>0.2*B244/100</f>
        <v>0</v>
      </c>
      <c r="G244" s="80">
        <f>0.1*B244/100</f>
        <v>0</v>
      </c>
      <c r="H244" s="80">
        <f>12*B244/100</f>
        <v>0</v>
      </c>
      <c r="I244" s="81"/>
      <c r="J244" s="81"/>
      <c r="K244" s="82">
        <v>761.6</v>
      </c>
      <c r="L244" s="173"/>
      <c r="M244" s="94">
        <f>742.5*L244/100</f>
        <v>0</v>
      </c>
      <c r="N244" s="85"/>
      <c r="O244" s="88">
        <f t="shared" si="72"/>
        <v>0</v>
      </c>
      <c r="P244" s="173"/>
      <c r="Q244" s="94">
        <f t="shared" si="74"/>
        <v>0</v>
      </c>
      <c r="R244" s="174"/>
      <c r="S244" s="88">
        <f t="shared" si="73"/>
        <v>0</v>
      </c>
      <c r="T244" s="173"/>
      <c r="U244" s="94">
        <f t="shared" si="75"/>
        <v>0</v>
      </c>
    </row>
    <row r="245" spans="1:21" ht="15">
      <c r="A245" s="199" t="s">
        <v>300</v>
      </c>
      <c r="B245" s="195"/>
      <c r="C245" s="201">
        <f>2*B245/100</f>
        <v>0</v>
      </c>
      <c r="D245" s="201">
        <f>0.4*B245/100</f>
        <v>0</v>
      </c>
      <c r="E245" s="202">
        <f>26*B245/100</f>
        <v>0</v>
      </c>
      <c r="F245" s="78">
        <f>42.6*B245/100</f>
        <v>0</v>
      </c>
      <c r="G245" s="80">
        <f>1.2*B245/100</f>
        <v>0</v>
      </c>
      <c r="H245" s="80">
        <f>0.1*B245/100</f>
        <v>0</v>
      </c>
      <c r="I245" s="81"/>
      <c r="J245" s="81"/>
      <c r="K245" s="82">
        <v>115.6</v>
      </c>
      <c r="L245" s="173"/>
      <c r="M245" s="94">
        <f>742.5*L245/100</f>
        <v>0</v>
      </c>
      <c r="N245" s="85"/>
      <c r="O245" s="88">
        <f t="shared" si="72"/>
        <v>0</v>
      </c>
      <c r="P245" s="173"/>
      <c r="Q245" s="94">
        <f t="shared" si="74"/>
        <v>0</v>
      </c>
      <c r="R245" s="174"/>
      <c r="S245" s="88">
        <f t="shared" si="73"/>
        <v>0</v>
      </c>
      <c r="T245" s="173"/>
      <c r="U245" s="94">
        <f t="shared" si="75"/>
        <v>0</v>
      </c>
    </row>
    <row r="246" spans="1:21" ht="15">
      <c r="A246" s="199" t="s">
        <v>301</v>
      </c>
      <c r="B246" s="195"/>
      <c r="C246" s="201">
        <f>0.5*B246</f>
        <v>0</v>
      </c>
      <c r="D246" s="201">
        <f>0.36*B246</f>
        <v>0</v>
      </c>
      <c r="E246" s="202">
        <f>1*B246</f>
        <v>0</v>
      </c>
      <c r="F246" s="113"/>
      <c r="G246" s="79"/>
      <c r="H246" s="79"/>
      <c r="I246" s="79"/>
      <c r="J246" s="79"/>
      <c r="K246" s="82">
        <v>9</v>
      </c>
      <c r="L246" s="173"/>
      <c r="M246" s="94">
        <f>L246*K246</f>
        <v>0</v>
      </c>
      <c r="N246" s="85"/>
      <c r="O246" s="88">
        <f>N246*K246</f>
        <v>0</v>
      </c>
      <c r="P246" s="173"/>
      <c r="Q246" s="94">
        <f>K246*P246</f>
        <v>0</v>
      </c>
      <c r="R246" s="174"/>
      <c r="S246" s="88">
        <f>R246*K246</f>
        <v>0</v>
      </c>
      <c r="T246" s="173"/>
      <c r="U246" s="94">
        <f>K246*T246</f>
        <v>0</v>
      </c>
    </row>
    <row r="247" spans="1:21" ht="15">
      <c r="A247" s="199" t="s">
        <v>302</v>
      </c>
      <c r="B247" s="195"/>
      <c r="C247" s="201">
        <f>0.5*B247</f>
        <v>0</v>
      </c>
      <c r="D247" s="201">
        <f>1*B247</f>
        <v>0</v>
      </c>
      <c r="E247" s="202">
        <f>0.5*B247</f>
        <v>0</v>
      </c>
      <c r="F247" s="113"/>
      <c r="G247" s="79"/>
      <c r="H247" s="79"/>
      <c r="I247" s="79"/>
      <c r="J247" s="79"/>
      <c r="K247" s="82">
        <v>13.6</v>
      </c>
      <c r="L247" s="173"/>
      <c r="M247" s="94">
        <f>L247*K247</f>
        <v>0</v>
      </c>
      <c r="N247" s="85"/>
      <c r="O247" s="88">
        <f>N247*K247</f>
        <v>0</v>
      </c>
      <c r="P247" s="173"/>
      <c r="Q247" s="94">
        <f>K247*P247</f>
        <v>0</v>
      </c>
      <c r="R247" s="174"/>
      <c r="S247" s="88">
        <f>R247*K247</f>
        <v>0</v>
      </c>
      <c r="T247" s="173"/>
      <c r="U247" s="94">
        <f>K247*T247</f>
        <v>0</v>
      </c>
    </row>
    <row r="248" spans="1:21" ht="15">
      <c r="A248" s="199" t="s">
        <v>303</v>
      </c>
      <c r="B248" s="195"/>
      <c r="C248" s="201">
        <f>0.6*B248</f>
        <v>0</v>
      </c>
      <c r="D248" s="201">
        <f>4.1*B248</f>
        <v>0</v>
      </c>
      <c r="E248" s="202">
        <f>0.93*B248</f>
        <v>0</v>
      </c>
      <c r="F248" s="113"/>
      <c r="G248" s="79"/>
      <c r="H248" s="79"/>
      <c r="I248" s="79"/>
      <c r="J248" s="79"/>
      <c r="K248" s="82">
        <v>43.3</v>
      </c>
      <c r="L248" s="173"/>
      <c r="M248" s="94">
        <f>L248*K248</f>
        <v>0</v>
      </c>
      <c r="N248" s="85"/>
      <c r="O248" s="88">
        <f>N248*K248</f>
        <v>0</v>
      </c>
      <c r="P248" s="173"/>
      <c r="Q248" s="94">
        <f>K248*P248</f>
        <v>0</v>
      </c>
      <c r="R248" s="174"/>
      <c r="S248" s="88">
        <f>R248*K248</f>
        <v>0</v>
      </c>
      <c r="T248" s="173"/>
      <c r="U248" s="94">
        <f>K248*T248</f>
        <v>0</v>
      </c>
    </row>
    <row r="249" spans="1:21" ht="15">
      <c r="A249" s="129" t="s">
        <v>304</v>
      </c>
      <c r="B249" s="205"/>
      <c r="C249" s="206"/>
      <c r="D249" s="206"/>
      <c r="E249" s="207"/>
      <c r="F249" s="208"/>
      <c r="G249" s="209"/>
      <c r="H249" s="209"/>
      <c r="I249" s="209"/>
      <c r="J249" s="209"/>
      <c r="K249" s="210"/>
      <c r="L249" s="179"/>
      <c r="M249" s="211"/>
      <c r="N249" s="212"/>
      <c r="O249" s="213"/>
      <c r="P249" s="179"/>
      <c r="Q249" s="211"/>
      <c r="R249" s="180"/>
      <c r="S249" s="214"/>
      <c r="T249" s="179"/>
      <c r="U249" s="135"/>
    </row>
    <row r="250" spans="1:21" ht="15">
      <c r="A250" s="215" t="s">
        <v>305</v>
      </c>
      <c r="B250" s="216"/>
      <c r="C250" s="217"/>
      <c r="D250" s="217"/>
      <c r="E250" s="218">
        <f>35*B250</f>
        <v>0</v>
      </c>
      <c r="F250" s="219">
        <f>27*B250</f>
        <v>0</v>
      </c>
      <c r="G250" s="209"/>
      <c r="H250" s="209"/>
      <c r="I250" s="220"/>
      <c r="J250" s="220"/>
      <c r="K250" s="221">
        <v>139</v>
      </c>
      <c r="L250" s="173"/>
      <c r="M250" s="222">
        <f>L250*K250</f>
        <v>0</v>
      </c>
      <c r="N250" s="223"/>
      <c r="O250" s="224">
        <f>N250*K250</f>
        <v>0</v>
      </c>
      <c r="P250" s="173"/>
      <c r="Q250" s="222">
        <f>K250*P250</f>
        <v>0</v>
      </c>
      <c r="R250" s="174"/>
      <c r="S250" s="225">
        <f>R250*K250</f>
        <v>0</v>
      </c>
      <c r="T250" s="173"/>
      <c r="U250" s="94">
        <f>K250*T250</f>
        <v>0</v>
      </c>
    </row>
    <row r="251" spans="1:21" ht="15">
      <c r="A251" s="215" t="s">
        <v>306</v>
      </c>
      <c r="B251" s="216"/>
      <c r="C251" s="217"/>
      <c r="D251" s="217"/>
      <c r="E251" s="218">
        <f>10.6*B251/100</f>
        <v>0</v>
      </c>
      <c r="F251" s="219">
        <f>10.6*B251/100</f>
        <v>0</v>
      </c>
      <c r="G251" s="209"/>
      <c r="H251" s="209"/>
      <c r="I251" s="220"/>
      <c r="J251" s="220"/>
      <c r="K251" s="221">
        <v>42</v>
      </c>
      <c r="L251" s="173"/>
      <c r="M251" s="222">
        <f>L251*K251/100</f>
        <v>0</v>
      </c>
      <c r="N251" s="223"/>
      <c r="O251" s="224">
        <f>N251*K251/100</f>
        <v>0</v>
      </c>
      <c r="P251" s="173"/>
      <c r="Q251" s="222">
        <f>K251*P251/100</f>
        <v>0</v>
      </c>
      <c r="R251" s="174"/>
      <c r="S251" s="225">
        <f>R251*K251/100</f>
        <v>0</v>
      </c>
      <c r="T251" s="173"/>
      <c r="U251" s="94">
        <f>K251*T251/100</f>
        <v>0</v>
      </c>
    </row>
    <row r="252" spans="1:21" ht="15">
      <c r="A252" s="215" t="s">
        <v>307</v>
      </c>
      <c r="B252" s="216"/>
      <c r="C252" s="217"/>
      <c r="D252" s="217"/>
      <c r="E252" s="218">
        <f>10.5*B252/100</f>
        <v>0</v>
      </c>
      <c r="F252" s="219">
        <f>10.5*B252/100</f>
        <v>0</v>
      </c>
      <c r="G252" s="209"/>
      <c r="H252" s="209"/>
      <c r="I252" s="220"/>
      <c r="J252" s="220"/>
      <c r="K252" s="221">
        <v>43</v>
      </c>
      <c r="L252" s="173"/>
      <c r="M252" s="222">
        <f>L252*K252/100</f>
        <v>0</v>
      </c>
      <c r="N252" s="223"/>
      <c r="O252" s="224">
        <f>N252*K252/100</f>
        <v>0</v>
      </c>
      <c r="P252" s="173"/>
      <c r="Q252" s="222">
        <f>K252*P252/100</f>
        <v>0</v>
      </c>
      <c r="R252" s="174"/>
      <c r="S252" s="225">
        <f>R252*K252/100</f>
        <v>0</v>
      </c>
      <c r="T252" s="173"/>
      <c r="U252" s="94">
        <f>K252*T252/100</f>
        <v>0</v>
      </c>
    </row>
    <row r="253" spans="1:21" ht="15">
      <c r="A253" s="215" t="s">
        <v>308</v>
      </c>
      <c r="B253" s="216"/>
      <c r="C253" s="217"/>
      <c r="D253" s="217"/>
      <c r="E253" s="218">
        <f>34.6*B253</f>
        <v>0</v>
      </c>
      <c r="F253" s="219">
        <f>34.6*B253</f>
        <v>0</v>
      </c>
      <c r="G253" s="209"/>
      <c r="H253" s="209"/>
      <c r="I253" s="220"/>
      <c r="J253" s="220"/>
      <c r="K253" s="221">
        <v>139</v>
      </c>
      <c r="L253" s="173"/>
      <c r="M253" s="222">
        <f aca="true" t="shared" si="76" ref="M253:M258">L253*K253</f>
        <v>0</v>
      </c>
      <c r="N253" s="223"/>
      <c r="O253" s="224">
        <f aca="true" t="shared" si="77" ref="O253:O259">N253*K253</f>
        <v>0</v>
      </c>
      <c r="P253" s="173"/>
      <c r="Q253" s="222">
        <f aca="true" t="shared" si="78" ref="Q253:Q259">K253*P253</f>
        <v>0</v>
      </c>
      <c r="R253" s="174"/>
      <c r="S253" s="225">
        <f aca="true" t="shared" si="79" ref="S253:S259">R253*K253</f>
        <v>0</v>
      </c>
      <c r="T253" s="173"/>
      <c r="U253" s="94">
        <f aca="true" t="shared" si="80" ref="U253:U259">K253*T253</f>
        <v>0</v>
      </c>
    </row>
    <row r="254" spans="1:21" ht="15">
      <c r="A254" s="215" t="s">
        <v>309</v>
      </c>
      <c r="B254" s="216"/>
      <c r="C254" s="217"/>
      <c r="D254" s="217"/>
      <c r="E254" s="218">
        <f>25.5*B254</f>
        <v>0</v>
      </c>
      <c r="F254" s="219">
        <f>25.5*B254</f>
        <v>0</v>
      </c>
      <c r="G254" s="209"/>
      <c r="H254" s="209"/>
      <c r="I254" s="220"/>
      <c r="J254" s="220"/>
      <c r="K254" s="221">
        <v>105</v>
      </c>
      <c r="L254" s="173"/>
      <c r="M254" s="222">
        <f t="shared" si="76"/>
        <v>0</v>
      </c>
      <c r="N254" s="223"/>
      <c r="O254" s="224">
        <f t="shared" si="77"/>
        <v>0</v>
      </c>
      <c r="P254" s="173"/>
      <c r="Q254" s="222">
        <f t="shared" si="78"/>
        <v>0</v>
      </c>
      <c r="R254" s="174"/>
      <c r="S254" s="225">
        <f t="shared" si="79"/>
        <v>0</v>
      </c>
      <c r="T254" s="173"/>
      <c r="U254" s="94">
        <f t="shared" si="80"/>
        <v>0</v>
      </c>
    </row>
    <row r="255" spans="1:21" ht="15">
      <c r="A255" s="215" t="s">
        <v>310</v>
      </c>
      <c r="B255" s="216"/>
      <c r="C255" s="217"/>
      <c r="D255" s="217"/>
      <c r="E255" s="218">
        <f>24*B255</f>
        <v>0</v>
      </c>
      <c r="F255" s="219">
        <f>24*B255</f>
        <v>0</v>
      </c>
      <c r="G255" s="209"/>
      <c r="H255" s="209"/>
      <c r="I255" s="220"/>
      <c r="J255" s="220"/>
      <c r="K255" s="221">
        <v>98</v>
      </c>
      <c r="L255" s="173"/>
      <c r="M255" s="222">
        <f t="shared" si="76"/>
        <v>0</v>
      </c>
      <c r="N255" s="223"/>
      <c r="O255" s="224">
        <f t="shared" si="77"/>
        <v>0</v>
      </c>
      <c r="P255" s="173"/>
      <c r="Q255" s="222">
        <f t="shared" si="78"/>
        <v>0</v>
      </c>
      <c r="R255" s="174"/>
      <c r="S255" s="225">
        <f t="shared" si="79"/>
        <v>0</v>
      </c>
      <c r="T255" s="173"/>
      <c r="U255" s="94">
        <f t="shared" si="80"/>
        <v>0</v>
      </c>
    </row>
    <row r="256" spans="1:21" ht="15">
      <c r="A256" s="215" t="s">
        <v>311</v>
      </c>
      <c r="B256" s="216"/>
      <c r="C256" s="217"/>
      <c r="D256" s="217"/>
      <c r="E256" s="218">
        <f>18.8*B256</f>
        <v>0</v>
      </c>
      <c r="F256" s="219">
        <f>18.8*B256</f>
        <v>0</v>
      </c>
      <c r="G256" s="209"/>
      <c r="H256" s="209"/>
      <c r="I256" s="220"/>
      <c r="J256" s="220"/>
      <c r="K256" s="221">
        <v>75</v>
      </c>
      <c r="L256" s="173"/>
      <c r="M256" s="222">
        <f t="shared" si="76"/>
        <v>0</v>
      </c>
      <c r="N256" s="223"/>
      <c r="O256" s="224">
        <f t="shared" si="77"/>
        <v>0</v>
      </c>
      <c r="P256" s="173"/>
      <c r="Q256" s="222">
        <f t="shared" si="78"/>
        <v>0</v>
      </c>
      <c r="R256" s="174"/>
      <c r="S256" s="225">
        <f t="shared" si="79"/>
        <v>0</v>
      </c>
      <c r="T256" s="173"/>
      <c r="U256" s="94">
        <f t="shared" si="80"/>
        <v>0</v>
      </c>
    </row>
    <row r="257" spans="1:21" ht="15">
      <c r="A257" s="215" t="s">
        <v>312</v>
      </c>
      <c r="B257" s="216"/>
      <c r="C257" s="217"/>
      <c r="D257" s="217"/>
      <c r="E257" s="218">
        <f>17.4*B257</f>
        <v>0</v>
      </c>
      <c r="F257" s="219">
        <f>17.4*B257</f>
        <v>0</v>
      </c>
      <c r="G257" s="209"/>
      <c r="H257" s="209"/>
      <c r="I257" s="220"/>
      <c r="J257" s="220"/>
      <c r="K257" s="221">
        <v>74</v>
      </c>
      <c r="L257" s="173"/>
      <c r="M257" s="222">
        <f t="shared" si="76"/>
        <v>0</v>
      </c>
      <c r="N257" s="223"/>
      <c r="O257" s="224">
        <f t="shared" si="77"/>
        <v>0</v>
      </c>
      <c r="P257" s="173"/>
      <c r="Q257" s="222">
        <f t="shared" si="78"/>
        <v>0</v>
      </c>
      <c r="R257" s="174"/>
      <c r="S257" s="225">
        <f t="shared" si="79"/>
        <v>0</v>
      </c>
      <c r="T257" s="173"/>
      <c r="U257" s="222">
        <f t="shared" si="80"/>
        <v>0</v>
      </c>
    </row>
    <row r="258" spans="1:21" ht="15">
      <c r="A258" s="215" t="s">
        <v>313</v>
      </c>
      <c r="B258" s="216">
        <v>125</v>
      </c>
      <c r="C258" s="217"/>
      <c r="D258" s="217"/>
      <c r="E258" s="218">
        <f>23.8*B258/200</f>
        <v>14.875</v>
      </c>
      <c r="F258" s="219">
        <f>23*B258</f>
        <v>2875</v>
      </c>
      <c r="G258" s="209"/>
      <c r="H258" s="209"/>
      <c r="I258" s="220"/>
      <c r="J258" s="220"/>
      <c r="K258" s="221">
        <v>103</v>
      </c>
      <c r="L258" s="173"/>
      <c r="M258" s="222">
        <f t="shared" si="76"/>
        <v>0</v>
      </c>
      <c r="N258" s="223"/>
      <c r="O258" s="224">
        <f t="shared" si="77"/>
        <v>0</v>
      </c>
      <c r="P258" s="173"/>
      <c r="Q258" s="222">
        <f t="shared" si="78"/>
        <v>0</v>
      </c>
      <c r="R258" s="174"/>
      <c r="S258" s="225">
        <f t="shared" si="79"/>
        <v>0</v>
      </c>
      <c r="T258" s="173"/>
      <c r="U258" s="222">
        <f t="shared" si="80"/>
        <v>0</v>
      </c>
    </row>
    <row r="259" spans="1:21" ht="15">
      <c r="A259" s="215" t="s">
        <v>314</v>
      </c>
      <c r="B259" s="216"/>
      <c r="C259" s="217"/>
      <c r="D259" s="217"/>
      <c r="E259" s="218">
        <f>36*B259</f>
        <v>0</v>
      </c>
      <c r="F259" s="219">
        <f>36*B259</f>
        <v>0</v>
      </c>
      <c r="G259" s="209"/>
      <c r="H259" s="209"/>
      <c r="I259" s="220"/>
      <c r="J259" s="220"/>
      <c r="K259" s="221">
        <v>156</v>
      </c>
      <c r="L259" s="173"/>
      <c r="M259" s="222">
        <f>K259*L259</f>
        <v>0</v>
      </c>
      <c r="N259" s="223"/>
      <c r="O259" s="224">
        <f t="shared" si="77"/>
        <v>0</v>
      </c>
      <c r="P259" s="173"/>
      <c r="Q259" s="222">
        <f t="shared" si="78"/>
        <v>0</v>
      </c>
      <c r="R259" s="174"/>
      <c r="S259" s="225">
        <f t="shared" si="79"/>
        <v>0</v>
      </c>
      <c r="T259" s="173"/>
      <c r="U259" s="222">
        <f t="shared" si="80"/>
        <v>0</v>
      </c>
    </row>
    <row r="260" spans="1:21" ht="15">
      <c r="A260" s="129" t="s">
        <v>315</v>
      </c>
      <c r="B260" s="226"/>
      <c r="C260" s="217"/>
      <c r="D260" s="217"/>
      <c r="E260" s="227"/>
      <c r="F260" s="208"/>
      <c r="G260" s="209"/>
      <c r="H260" s="209"/>
      <c r="I260" s="209"/>
      <c r="J260" s="209"/>
      <c r="K260" s="210"/>
      <c r="L260" s="179"/>
      <c r="M260" s="211"/>
      <c r="N260" s="212"/>
      <c r="O260" s="213"/>
      <c r="P260" s="179"/>
      <c r="Q260" s="211"/>
      <c r="R260" s="180"/>
      <c r="S260" s="214"/>
      <c r="T260" s="179"/>
      <c r="U260" s="211"/>
    </row>
    <row r="261" spans="1:21" ht="15">
      <c r="A261" s="228" t="s">
        <v>316</v>
      </c>
      <c r="B261" s="229"/>
      <c r="C261" s="230">
        <f>0.75*B261</f>
        <v>0</v>
      </c>
      <c r="D261" s="230">
        <f>2.5*B261</f>
        <v>0</v>
      </c>
      <c r="E261" s="231">
        <f>7*B261</f>
        <v>0</v>
      </c>
      <c r="F261" s="219"/>
      <c r="G261" s="232"/>
      <c r="H261" s="232"/>
      <c r="I261" s="220"/>
      <c r="J261" s="220"/>
      <c r="K261" s="221">
        <v>55</v>
      </c>
      <c r="L261" s="173"/>
      <c r="M261" s="222">
        <f>L261*K261</f>
        <v>0</v>
      </c>
      <c r="N261" s="223"/>
      <c r="O261" s="224">
        <f>N261*K261</f>
        <v>0</v>
      </c>
      <c r="P261" s="173"/>
      <c r="Q261" s="222">
        <f>P261*K261</f>
        <v>0</v>
      </c>
      <c r="R261" s="174"/>
      <c r="S261" s="225">
        <f>R261*K261</f>
        <v>0</v>
      </c>
      <c r="T261" s="173"/>
      <c r="U261" s="222">
        <f>T261*K261</f>
        <v>0</v>
      </c>
    </row>
    <row r="262" spans="1:21" ht="15">
      <c r="A262" s="228" t="s">
        <v>317</v>
      </c>
      <c r="B262" s="229"/>
      <c r="C262" s="230">
        <f>2.4*B262</f>
        <v>0</v>
      </c>
      <c r="D262" s="230">
        <f>11.4*B262</f>
        <v>0</v>
      </c>
      <c r="E262" s="231">
        <f>27.1*B262</f>
        <v>0</v>
      </c>
      <c r="F262" s="219">
        <f>20.5*B262</f>
        <v>0</v>
      </c>
      <c r="G262" s="232">
        <f>6*B262</f>
        <v>0</v>
      </c>
      <c r="H262" s="232">
        <f>8.2*B262</f>
        <v>0</v>
      </c>
      <c r="I262" s="220"/>
      <c r="J262" s="220"/>
      <c r="K262" s="221">
        <v>221</v>
      </c>
      <c r="L262" s="173"/>
      <c r="M262" s="222">
        <f>L262*K262</f>
        <v>0</v>
      </c>
      <c r="N262" s="223"/>
      <c r="O262" s="224">
        <f>N262*K262</f>
        <v>0</v>
      </c>
      <c r="P262" s="173"/>
      <c r="Q262" s="222">
        <f>P262*K262</f>
        <v>0</v>
      </c>
      <c r="R262" s="174"/>
      <c r="S262" s="225">
        <f>R262*K262</f>
        <v>0</v>
      </c>
      <c r="T262" s="173"/>
      <c r="U262" s="222">
        <f>T262*K262</f>
        <v>0</v>
      </c>
    </row>
    <row r="263" spans="1:21" ht="15">
      <c r="A263" s="228" t="s">
        <v>318</v>
      </c>
      <c r="B263" s="229"/>
      <c r="C263" s="230">
        <f>3.5*B263/100</f>
        <v>0</v>
      </c>
      <c r="D263" s="230">
        <f>9.9*B263/100</f>
        <v>0</v>
      </c>
      <c r="E263" s="231">
        <f>26.2*B263/100</f>
        <v>0</v>
      </c>
      <c r="F263" s="219"/>
      <c r="G263" s="232"/>
      <c r="H263" s="232"/>
      <c r="I263" s="220"/>
      <c r="J263" s="220"/>
      <c r="K263" s="221">
        <v>208</v>
      </c>
      <c r="L263" s="173"/>
      <c r="M263" s="222">
        <f>L263*K263/100</f>
        <v>0</v>
      </c>
      <c r="N263" s="223"/>
      <c r="O263" s="224">
        <f>N263*K263/100</f>
        <v>0</v>
      </c>
      <c r="P263" s="173"/>
      <c r="Q263" s="222">
        <f>K263*P263/100</f>
        <v>0</v>
      </c>
      <c r="R263" s="174"/>
      <c r="S263" s="225">
        <f>R263*K263/100</f>
        <v>0</v>
      </c>
      <c r="T263" s="173"/>
      <c r="U263" s="222">
        <f>K263*T263/100</f>
        <v>0</v>
      </c>
    </row>
    <row r="264" spans="1:21" ht="15">
      <c r="A264" s="228" t="s">
        <v>319</v>
      </c>
      <c r="B264" s="229"/>
      <c r="C264" s="230">
        <f>0.3*B264</f>
        <v>0</v>
      </c>
      <c r="D264" s="230">
        <f>0.1*B264</f>
        <v>0</v>
      </c>
      <c r="E264" s="231">
        <f>30*B264/100</f>
        <v>0</v>
      </c>
      <c r="F264" s="219"/>
      <c r="G264" s="232"/>
      <c r="H264" s="232"/>
      <c r="I264" s="220"/>
      <c r="J264" s="220"/>
      <c r="K264" s="221">
        <v>120</v>
      </c>
      <c r="L264" s="173"/>
      <c r="M264" s="222">
        <f>L264*K264/100</f>
        <v>0</v>
      </c>
      <c r="N264" s="223"/>
      <c r="O264" s="224">
        <f>N264*K264/100</f>
        <v>0</v>
      </c>
      <c r="P264" s="173"/>
      <c r="Q264" s="222">
        <f>K264*P264/100</f>
        <v>0</v>
      </c>
      <c r="R264" s="174"/>
      <c r="S264" s="225">
        <f>R264*K264/100</f>
        <v>0</v>
      </c>
      <c r="T264" s="173"/>
      <c r="U264" s="222">
        <f>K264*T264/100</f>
        <v>0</v>
      </c>
    </row>
    <row r="265" spans="1:21" ht="15">
      <c r="A265" s="228" t="s">
        <v>320</v>
      </c>
      <c r="B265" s="229"/>
      <c r="C265" s="230">
        <f>0.2*B265</f>
        <v>0</v>
      </c>
      <c r="D265" s="230">
        <v>0</v>
      </c>
      <c r="E265" s="231">
        <f>14.4*B265</f>
        <v>0</v>
      </c>
      <c r="F265" s="219">
        <f>12.9*B265</f>
        <v>0</v>
      </c>
      <c r="G265" s="232"/>
      <c r="H265" s="232"/>
      <c r="I265" s="220"/>
      <c r="J265" s="220"/>
      <c r="K265" s="221">
        <v>60</v>
      </c>
      <c r="L265" s="173"/>
      <c r="M265" s="222">
        <f>L265*K265</f>
        <v>0</v>
      </c>
      <c r="N265" s="223"/>
      <c r="O265" s="224">
        <f>N265*K265</f>
        <v>0</v>
      </c>
      <c r="P265" s="173"/>
      <c r="Q265" s="222">
        <f>P265*K265</f>
        <v>0</v>
      </c>
      <c r="R265" s="174"/>
      <c r="S265" s="225">
        <f>R265*K265</f>
        <v>0</v>
      </c>
      <c r="T265" s="173"/>
      <c r="U265" s="222">
        <f>T265*K265</f>
        <v>0</v>
      </c>
    </row>
    <row r="266" spans="1:21" ht="15">
      <c r="A266" s="228" t="s">
        <v>321</v>
      </c>
      <c r="B266" s="229"/>
      <c r="C266" s="230">
        <f>0.3*B266</f>
        <v>0</v>
      </c>
      <c r="D266" s="230">
        <v>0</v>
      </c>
      <c r="E266" s="231">
        <f>14*B266</f>
        <v>0</v>
      </c>
      <c r="F266" s="219">
        <f>13.1*B266</f>
        <v>0</v>
      </c>
      <c r="G266" s="232"/>
      <c r="H266" s="232"/>
      <c r="I266" s="220"/>
      <c r="J266" s="220"/>
      <c r="K266" s="221">
        <v>57</v>
      </c>
      <c r="L266" s="173"/>
      <c r="M266" s="222">
        <f>L266*K266</f>
        <v>0</v>
      </c>
      <c r="N266" s="223"/>
      <c r="O266" s="224">
        <f>N266*K266</f>
        <v>0</v>
      </c>
      <c r="P266" s="173"/>
      <c r="Q266" s="222">
        <f>P266*K266</f>
        <v>0</v>
      </c>
      <c r="R266" s="174"/>
      <c r="S266" s="225">
        <f>R266*K266</f>
        <v>0</v>
      </c>
      <c r="T266" s="173"/>
      <c r="U266" s="222">
        <f>T266*K266</f>
        <v>0</v>
      </c>
    </row>
    <row r="267" spans="1:21" ht="15">
      <c r="A267" s="228" t="s">
        <v>322</v>
      </c>
      <c r="B267" s="229"/>
      <c r="C267" s="230">
        <f>0.3*B267</f>
        <v>0</v>
      </c>
      <c r="D267" s="230">
        <v>0</v>
      </c>
      <c r="E267" s="231">
        <f>12.2*B267</f>
        <v>0</v>
      </c>
      <c r="F267" s="219">
        <f>11.3*B267</f>
        <v>0</v>
      </c>
      <c r="G267" s="232"/>
      <c r="H267" s="232"/>
      <c r="I267" s="220"/>
      <c r="J267" s="220"/>
      <c r="K267" s="221">
        <v>51</v>
      </c>
      <c r="L267" s="173"/>
      <c r="M267" s="222">
        <f>L267*K267</f>
        <v>0</v>
      </c>
      <c r="N267" s="223"/>
      <c r="O267" s="224">
        <f>N267*K267</f>
        <v>0</v>
      </c>
      <c r="P267" s="173"/>
      <c r="Q267" s="222">
        <f>P267*K267</f>
        <v>0</v>
      </c>
      <c r="R267" s="174"/>
      <c r="S267" s="225">
        <f>R267*K267</f>
        <v>0</v>
      </c>
      <c r="T267" s="173"/>
      <c r="U267" s="222">
        <f>T267*K267</f>
        <v>0</v>
      </c>
    </row>
    <row r="268" spans="1:21" ht="15">
      <c r="A268" s="171" t="s">
        <v>323</v>
      </c>
      <c r="B268" s="157"/>
      <c r="C268" s="167"/>
      <c r="D268" s="167"/>
      <c r="E268" s="175">
        <f>68*B268/100</f>
        <v>0</v>
      </c>
      <c r="F268" s="78">
        <f>68*B268/100</f>
        <v>0</v>
      </c>
      <c r="G268" s="80">
        <v>0</v>
      </c>
      <c r="H268" s="79"/>
      <c r="I268" s="81">
        <f>12*B268/100</f>
        <v>0</v>
      </c>
      <c r="J268" s="81">
        <f>0.5*B268/100</f>
        <v>0</v>
      </c>
      <c r="K268" s="82">
        <v>274</v>
      </c>
      <c r="L268" s="173"/>
      <c r="M268" s="94">
        <f>K268*L268/100</f>
        <v>0</v>
      </c>
      <c r="N268" s="85"/>
      <c r="O268" s="86">
        <f>N268*K268/100</f>
        <v>0</v>
      </c>
      <c r="P268" s="173"/>
      <c r="Q268" s="94">
        <f>K268*P268/100</f>
        <v>0</v>
      </c>
      <c r="R268" s="174"/>
      <c r="S268" s="88">
        <f>R268*K268/100</f>
        <v>0</v>
      </c>
      <c r="T268" s="173"/>
      <c r="U268" s="94">
        <f>K268*T268/100</f>
        <v>0</v>
      </c>
    </row>
    <row r="269" spans="1:21" ht="15">
      <c r="A269" s="171" t="s">
        <v>324</v>
      </c>
      <c r="B269" s="157"/>
      <c r="C269" s="167"/>
      <c r="D269" s="167"/>
      <c r="E269" s="175">
        <f>80*B269/100</f>
        <v>0</v>
      </c>
      <c r="F269" s="78"/>
      <c r="G269" s="80"/>
      <c r="H269" s="79"/>
      <c r="I269" s="81"/>
      <c r="J269" s="81"/>
      <c r="K269" s="82">
        <v>321</v>
      </c>
      <c r="L269" s="173"/>
      <c r="M269" s="94">
        <f>K269*L269/100</f>
        <v>0</v>
      </c>
      <c r="N269" s="85"/>
      <c r="O269" s="86">
        <f>N269*K269/100</f>
        <v>0</v>
      </c>
      <c r="P269" s="173"/>
      <c r="Q269" s="94">
        <f>K269*P269/100</f>
        <v>0</v>
      </c>
      <c r="R269" s="174"/>
      <c r="S269" s="88">
        <f>R269*K269/100</f>
        <v>0</v>
      </c>
      <c r="T269" s="173"/>
      <c r="U269" s="94">
        <f>K269*T269/100</f>
        <v>0</v>
      </c>
    </row>
    <row r="270" spans="1:21" ht="15">
      <c r="A270" s="171" t="s">
        <v>325</v>
      </c>
      <c r="B270" s="157"/>
      <c r="C270" s="170">
        <f>6*B270/100</f>
        <v>0</v>
      </c>
      <c r="D270" s="170">
        <f>31.6*B270/100</f>
        <v>0</v>
      </c>
      <c r="E270" s="175">
        <f>57.3*B270/100</f>
        <v>0</v>
      </c>
      <c r="F270" s="78">
        <f>56.3*B270/100</f>
        <v>0</v>
      </c>
      <c r="G270" s="80">
        <f>1*B270/100</f>
        <v>0</v>
      </c>
      <c r="H270" s="80">
        <f>10.9*B270/100</f>
        <v>0</v>
      </c>
      <c r="I270" s="81">
        <f>120*B270/100</f>
        <v>0</v>
      </c>
      <c r="J270" s="81"/>
      <c r="K270" s="82">
        <v>544</v>
      </c>
      <c r="L270" s="173"/>
      <c r="M270" s="94">
        <f>K270*L270/100</f>
        <v>0</v>
      </c>
      <c r="N270" s="85"/>
      <c r="O270" s="86">
        <f>N270*K270/100</f>
        <v>0</v>
      </c>
      <c r="P270" s="173"/>
      <c r="Q270" s="94">
        <f>K270*P270/100</f>
        <v>0</v>
      </c>
      <c r="R270" s="174"/>
      <c r="S270" s="88">
        <f>R270*K270/100</f>
        <v>0</v>
      </c>
      <c r="T270" s="173"/>
      <c r="U270" s="94">
        <f>K270*T270/100</f>
        <v>0</v>
      </c>
    </row>
    <row r="271" spans="1:21" ht="15">
      <c r="A271" s="233" t="s">
        <v>326</v>
      </c>
      <c r="B271" s="234"/>
      <c r="C271" s="235">
        <f>6.8*B271/100</f>
        <v>0</v>
      </c>
      <c r="D271" s="235">
        <f>30*B271/100</f>
        <v>0</v>
      </c>
      <c r="E271" s="236">
        <f>56.3*B271/100</f>
        <v>0</v>
      </c>
      <c r="F271" s="78">
        <f>56.3*B271/100</f>
        <v>0</v>
      </c>
      <c r="G271" s="79"/>
      <c r="H271" s="79"/>
      <c r="I271" s="81"/>
      <c r="J271" s="81"/>
      <c r="K271" s="82">
        <v>532</v>
      </c>
      <c r="L271" s="173"/>
      <c r="M271" s="94">
        <f>K271*L271/100</f>
        <v>0</v>
      </c>
      <c r="N271" s="85"/>
      <c r="O271" s="86">
        <f>N271*K271/100</f>
        <v>0</v>
      </c>
      <c r="P271" s="173"/>
      <c r="Q271" s="94">
        <f>K271*P271/100</f>
        <v>0</v>
      </c>
      <c r="R271" s="174"/>
      <c r="S271" s="88">
        <f>R271*K271/100</f>
        <v>0</v>
      </c>
      <c r="T271" s="173"/>
      <c r="U271" s="94">
        <f>K271*T271/100</f>
        <v>0</v>
      </c>
    </row>
    <row r="272" spans="1:21" ht="15">
      <c r="A272" s="228" t="s">
        <v>327</v>
      </c>
      <c r="B272" s="229"/>
      <c r="C272" s="230">
        <f>0.6*B272</f>
        <v>0</v>
      </c>
      <c r="D272" s="230">
        <f>5.6*B272</f>
        <v>0</v>
      </c>
      <c r="E272" s="231">
        <f>5.3*B272</f>
        <v>0</v>
      </c>
      <c r="F272" s="219"/>
      <c r="G272" s="209"/>
      <c r="H272" s="209"/>
      <c r="I272" s="220"/>
      <c r="J272" s="220"/>
      <c r="K272" s="221">
        <v>73.3</v>
      </c>
      <c r="L272" s="173"/>
      <c r="M272" s="94">
        <f>L272*K272</f>
        <v>0</v>
      </c>
      <c r="N272" s="223"/>
      <c r="O272" s="86">
        <f>N272*K272</f>
        <v>0</v>
      </c>
      <c r="P272" s="173"/>
      <c r="Q272" s="94">
        <f>P272*K272</f>
        <v>0</v>
      </c>
      <c r="R272" s="174"/>
      <c r="S272" s="88">
        <f>R272*K272</f>
        <v>0</v>
      </c>
      <c r="T272" s="173"/>
      <c r="U272" s="94">
        <f>T272*K272</f>
        <v>0</v>
      </c>
    </row>
    <row r="273" spans="1:21" ht="15">
      <c r="A273" s="228" t="s">
        <v>328</v>
      </c>
      <c r="B273" s="229"/>
      <c r="C273" s="230">
        <f>0.6*B273</f>
        <v>0</v>
      </c>
      <c r="D273" s="230">
        <f>6*B273</f>
        <v>0</v>
      </c>
      <c r="E273" s="231">
        <f>5*B273</f>
        <v>0</v>
      </c>
      <c r="F273" s="219"/>
      <c r="G273" s="209"/>
      <c r="H273" s="209"/>
      <c r="I273" s="220"/>
      <c r="J273" s="220"/>
      <c r="K273" s="221">
        <v>73.3</v>
      </c>
      <c r="L273" s="173"/>
      <c r="M273" s="94">
        <f>L273*K273</f>
        <v>0</v>
      </c>
      <c r="N273" s="223"/>
      <c r="O273" s="86">
        <f>N273*K273</f>
        <v>0</v>
      </c>
      <c r="P273" s="173"/>
      <c r="Q273" s="94">
        <f>P273*K273</f>
        <v>0</v>
      </c>
      <c r="R273" s="174"/>
      <c r="S273" s="88">
        <f>R273*K273</f>
        <v>0</v>
      </c>
      <c r="T273" s="173"/>
      <c r="U273" s="94">
        <f>T273*K273</f>
        <v>0</v>
      </c>
    </row>
    <row r="274" spans="1:21" ht="15">
      <c r="A274" s="228" t="s">
        <v>329</v>
      </c>
      <c r="B274" s="229"/>
      <c r="C274" s="230">
        <f>0.6*B274</f>
        <v>0</v>
      </c>
      <c r="D274" s="230">
        <f>6.3*B274</f>
        <v>0</v>
      </c>
      <c r="E274" s="231">
        <f>5*B274</f>
        <v>0</v>
      </c>
      <c r="F274" s="219"/>
      <c r="G274" s="209"/>
      <c r="H274" s="209"/>
      <c r="I274" s="220"/>
      <c r="J274" s="220"/>
      <c r="K274" s="221">
        <v>70</v>
      </c>
      <c r="L274" s="173"/>
      <c r="M274" s="94">
        <f>L274*K274</f>
        <v>0</v>
      </c>
      <c r="N274" s="223"/>
      <c r="O274" s="86">
        <f>N274*K274</f>
        <v>0</v>
      </c>
      <c r="P274" s="173"/>
      <c r="Q274" s="94">
        <f>P274*K274</f>
        <v>0</v>
      </c>
      <c r="R274" s="174"/>
      <c r="S274" s="88">
        <f>R274*K274</f>
        <v>0</v>
      </c>
      <c r="T274" s="173"/>
      <c r="U274" s="94">
        <f>T274*K274</f>
        <v>0</v>
      </c>
    </row>
    <row r="275" spans="1:21" ht="15">
      <c r="A275" s="129" t="s">
        <v>330</v>
      </c>
      <c r="B275" s="237"/>
      <c r="C275" s="238"/>
      <c r="D275" s="238"/>
      <c r="E275" s="239"/>
      <c r="F275" s="208"/>
      <c r="G275" s="209"/>
      <c r="H275" s="209"/>
      <c r="I275" s="209"/>
      <c r="J275" s="209"/>
      <c r="K275" s="210"/>
      <c r="L275" s="179"/>
      <c r="M275" s="135"/>
      <c r="N275" s="212"/>
      <c r="O275" s="240"/>
      <c r="P275" s="179"/>
      <c r="Q275" s="135"/>
      <c r="R275" s="180"/>
      <c r="S275" s="137"/>
      <c r="T275" s="179"/>
      <c r="U275" s="135"/>
    </row>
    <row r="276" spans="1:21" ht="15">
      <c r="A276" s="228" t="s">
        <v>331</v>
      </c>
      <c r="B276" s="229"/>
      <c r="C276" s="230">
        <f>6*B276/100</f>
        <v>0</v>
      </c>
      <c r="D276" s="230">
        <f>7*B276/100</f>
        <v>0</v>
      </c>
      <c r="E276" s="231">
        <f>80*B276/100</f>
        <v>0</v>
      </c>
      <c r="F276" s="219"/>
      <c r="G276" s="232"/>
      <c r="H276" s="232"/>
      <c r="I276" s="220"/>
      <c r="J276" s="220"/>
      <c r="K276" s="221">
        <v>410</v>
      </c>
      <c r="L276" s="173"/>
      <c r="M276" s="94">
        <f>K276*L276/100</f>
        <v>0</v>
      </c>
      <c r="N276" s="223"/>
      <c r="O276" s="86">
        <f>N276*K276/100</f>
        <v>0</v>
      </c>
      <c r="P276" s="173"/>
      <c r="Q276" s="94">
        <f>K276*P276/100</f>
        <v>0</v>
      </c>
      <c r="R276" s="174"/>
      <c r="S276" s="88">
        <f>R276*K276/100</f>
        <v>0</v>
      </c>
      <c r="T276" s="173"/>
      <c r="U276" s="94">
        <f>K276*T276/100</f>
        <v>0</v>
      </c>
    </row>
    <row r="277" spans="1:21" ht="15">
      <c r="A277" s="228" t="s">
        <v>332</v>
      </c>
      <c r="B277" s="229"/>
      <c r="C277" s="230">
        <f>5*B277/100</f>
        <v>0</v>
      </c>
      <c r="D277" s="230">
        <f>4.7*B277/100</f>
        <v>0</v>
      </c>
      <c r="E277" s="231">
        <f>85*B277/100</f>
        <v>0</v>
      </c>
      <c r="F277" s="219"/>
      <c r="G277" s="232"/>
      <c r="H277" s="232"/>
      <c r="I277" s="220"/>
      <c r="J277" s="220"/>
      <c r="K277" s="221">
        <v>396.6</v>
      </c>
      <c r="L277" s="173"/>
      <c r="M277" s="94">
        <f>K277*L277/100</f>
        <v>0</v>
      </c>
      <c r="N277" s="223"/>
      <c r="O277" s="224">
        <f>N277*K277/100</f>
        <v>0</v>
      </c>
      <c r="P277" s="173"/>
      <c r="Q277" s="222">
        <f>K277*P277/100</f>
        <v>0</v>
      </c>
      <c r="R277" s="174"/>
      <c r="S277" s="225">
        <f>R277*K277/100</f>
        <v>0</v>
      </c>
      <c r="T277" s="173"/>
      <c r="U277" s="222">
        <f>K277*T277/100</f>
        <v>0</v>
      </c>
    </row>
    <row r="278" spans="1:21" ht="15">
      <c r="A278" s="215" t="s">
        <v>333</v>
      </c>
      <c r="B278" s="229"/>
      <c r="C278" s="230">
        <f>1.5*B278</f>
        <v>0</v>
      </c>
      <c r="D278" s="230">
        <f>1.8*B278</f>
        <v>0</v>
      </c>
      <c r="E278" s="231">
        <f>8.5*B278</f>
        <v>0</v>
      </c>
      <c r="F278" s="219"/>
      <c r="G278" s="232"/>
      <c r="H278" s="232"/>
      <c r="I278" s="220"/>
      <c r="J278" s="220"/>
      <c r="K278" s="221">
        <v>54</v>
      </c>
      <c r="L278" s="173"/>
      <c r="M278" s="94">
        <f>K278*L278</f>
        <v>0</v>
      </c>
      <c r="N278" s="223"/>
      <c r="O278" s="224">
        <f>N278*K278</f>
        <v>0</v>
      </c>
      <c r="P278" s="173"/>
      <c r="Q278" s="222">
        <f>K278*P278</f>
        <v>0</v>
      </c>
      <c r="R278" s="174"/>
      <c r="S278" s="225">
        <f>R278*K278</f>
        <v>0</v>
      </c>
      <c r="T278" s="173"/>
      <c r="U278" s="222">
        <f>K278*T278</f>
        <v>0</v>
      </c>
    </row>
    <row r="279" spans="1:21" ht="15">
      <c r="A279" s="215" t="s">
        <v>334</v>
      </c>
      <c r="B279" s="229"/>
      <c r="C279" s="230">
        <f>1.5*B279</f>
        <v>0</v>
      </c>
      <c r="D279" s="230">
        <f>1.6*B279</f>
        <v>0</v>
      </c>
      <c r="E279" s="231">
        <f>8.5*B279</f>
        <v>0</v>
      </c>
      <c r="F279" s="219">
        <f>7.1*B279</f>
        <v>0</v>
      </c>
      <c r="G279" s="232"/>
      <c r="H279" s="232">
        <f>1.6*B279</f>
        <v>0</v>
      </c>
      <c r="I279" s="220"/>
      <c r="J279" s="220"/>
      <c r="K279" s="221">
        <v>54</v>
      </c>
      <c r="L279" s="173"/>
      <c r="M279" s="94">
        <f>K279*L279</f>
        <v>0</v>
      </c>
      <c r="N279" s="223"/>
      <c r="O279" s="224">
        <f>N279*K279</f>
        <v>0</v>
      </c>
      <c r="P279" s="173"/>
      <c r="Q279" s="222">
        <f>K279*P279</f>
        <v>0</v>
      </c>
      <c r="R279" s="174"/>
      <c r="S279" s="225">
        <f>R279*K279</f>
        <v>0</v>
      </c>
      <c r="T279" s="173"/>
      <c r="U279" s="222">
        <f>K279*T279</f>
        <v>0</v>
      </c>
    </row>
    <row r="280" spans="1:21" ht="15">
      <c r="A280" s="215" t="s">
        <v>335</v>
      </c>
      <c r="B280" s="229"/>
      <c r="C280" s="230">
        <f>1.4*B280</f>
        <v>0</v>
      </c>
      <c r="D280" s="230">
        <f>2.1*B280</f>
        <v>0</v>
      </c>
      <c r="E280" s="231">
        <f>10.8*B280</f>
        <v>0</v>
      </c>
      <c r="F280" s="219">
        <f>8.4*B280</f>
        <v>0</v>
      </c>
      <c r="G280" s="232"/>
      <c r="H280" s="232">
        <f>2*B280</f>
        <v>0</v>
      </c>
      <c r="I280" s="220"/>
      <c r="J280" s="220"/>
      <c r="K280" s="221">
        <v>66</v>
      </c>
      <c r="L280" s="173"/>
      <c r="M280" s="94">
        <f>K280*L280</f>
        <v>0</v>
      </c>
      <c r="N280" s="223"/>
      <c r="O280" s="224">
        <f>N280*K280</f>
        <v>0</v>
      </c>
      <c r="P280" s="173"/>
      <c r="Q280" s="222">
        <f>K280*P280</f>
        <v>0</v>
      </c>
      <c r="R280" s="174"/>
      <c r="S280" s="225">
        <f>R280*K280</f>
        <v>0</v>
      </c>
      <c r="T280" s="173"/>
      <c r="U280" s="222">
        <f>K280*T280</f>
        <v>0</v>
      </c>
    </row>
    <row r="281" spans="1:21" ht="15">
      <c r="A281" s="215" t="s">
        <v>336</v>
      </c>
      <c r="B281" s="229"/>
      <c r="C281" s="230">
        <f>1.4*B281</f>
        <v>0</v>
      </c>
      <c r="D281" s="230">
        <f>2.2*B281</f>
        <v>0</v>
      </c>
      <c r="E281" s="231">
        <f>11.3*B281</f>
        <v>0</v>
      </c>
      <c r="F281" s="219">
        <f>9.9*B281</f>
        <v>0</v>
      </c>
      <c r="G281" s="232"/>
      <c r="H281" s="232">
        <f>2.2*B281</f>
        <v>0</v>
      </c>
      <c r="I281" s="220"/>
      <c r="J281" s="220"/>
      <c r="K281" s="221">
        <v>71</v>
      </c>
      <c r="L281" s="173"/>
      <c r="M281" s="94">
        <f>K281*L281</f>
        <v>0</v>
      </c>
      <c r="N281" s="223"/>
      <c r="O281" s="224">
        <f>N281*K281</f>
        <v>0</v>
      </c>
      <c r="P281" s="173"/>
      <c r="Q281" s="222">
        <f>K281*P281</f>
        <v>0</v>
      </c>
      <c r="R281" s="174"/>
      <c r="S281" s="225">
        <f>R281*K281</f>
        <v>0</v>
      </c>
      <c r="T281" s="173"/>
      <c r="U281" s="222">
        <f>K281*T281</f>
        <v>0</v>
      </c>
    </row>
    <row r="282" spans="1:21" ht="15">
      <c r="A282" s="215" t="s">
        <v>337</v>
      </c>
      <c r="B282" s="229"/>
      <c r="C282" s="230">
        <f>3.3*B282/100</f>
        <v>0</v>
      </c>
      <c r="D282" s="230">
        <f>0.2*B282/100</f>
        <v>0</v>
      </c>
      <c r="E282" s="231">
        <f>18.7*B282/100</f>
        <v>0</v>
      </c>
      <c r="F282" s="219"/>
      <c r="G282" s="232"/>
      <c r="H282" s="232"/>
      <c r="I282" s="220"/>
      <c r="J282" s="220"/>
      <c r="K282" s="221">
        <v>90</v>
      </c>
      <c r="L282" s="173"/>
      <c r="M282" s="94">
        <f>K282*L282</f>
        <v>0</v>
      </c>
      <c r="N282" s="223"/>
      <c r="O282" s="224">
        <f>N282*K282</f>
        <v>0</v>
      </c>
      <c r="P282" s="173"/>
      <c r="Q282" s="222">
        <f>K282*P282</f>
        <v>0</v>
      </c>
      <c r="R282" s="174"/>
      <c r="S282" s="225">
        <f>R282*K282</f>
        <v>0</v>
      </c>
      <c r="T282" s="173"/>
      <c r="U282" s="222">
        <f>K282*T282</f>
        <v>0</v>
      </c>
    </row>
    <row r="283" spans="1:21" ht="15">
      <c r="A283" s="241" t="s">
        <v>338</v>
      </c>
      <c r="B283" s="242"/>
      <c r="C283" s="243"/>
      <c r="D283" s="243"/>
      <c r="E283" s="244">
        <f>B283*100/100</f>
        <v>0</v>
      </c>
      <c r="F283" s="245">
        <f>100*B283/100</f>
        <v>0</v>
      </c>
      <c r="G283" s="246"/>
      <c r="H283" s="246"/>
      <c r="I283" s="246"/>
      <c r="J283" s="246"/>
      <c r="K283" s="247">
        <v>400</v>
      </c>
      <c r="L283" s="248"/>
      <c r="M283" s="94">
        <f>K283*L283/100</f>
        <v>0</v>
      </c>
      <c r="N283" s="249"/>
      <c r="O283" s="250">
        <f>N283*K283/100</f>
        <v>0</v>
      </c>
      <c r="P283" s="248"/>
      <c r="Q283" s="251">
        <f>K283*P283/100</f>
        <v>0</v>
      </c>
      <c r="R283" s="252"/>
      <c r="S283" s="253">
        <f>R283*$K$237/100</f>
        <v>0</v>
      </c>
      <c r="T283" s="248"/>
      <c r="U283" s="251">
        <f>K283*T283/100</f>
        <v>0</v>
      </c>
    </row>
    <row r="284" spans="6:21" ht="15">
      <c r="F284" s="254">
        <f>SUM(F7:F283)</f>
        <v>3079.929</v>
      </c>
      <c r="G284" s="254">
        <f>SUM(G7:G283)</f>
        <v>109.53999999999999</v>
      </c>
      <c r="H284" s="254">
        <f>SUM(H7:H283)</f>
        <v>32.58</v>
      </c>
      <c r="I284" s="254">
        <f>SUM(I7:I283)</f>
        <v>769.34</v>
      </c>
      <c r="J284" s="254">
        <f>SUM(J7:J283)</f>
        <v>12.672999999999998</v>
      </c>
      <c r="M284" s="255">
        <f>SUM(M7:M283)</f>
        <v>0</v>
      </c>
      <c r="N284" s="256"/>
      <c r="O284" s="255">
        <f>SUM(O7:O283)</f>
        <v>0</v>
      </c>
      <c r="Q284" s="255">
        <f>SUM(Q7:Q283)</f>
        <v>0</v>
      </c>
      <c r="R284" s="256"/>
      <c r="S284" s="255">
        <f>SUM(S7:S283)</f>
        <v>0</v>
      </c>
      <c r="U284" s="255">
        <f>SUM(U7:U283)</f>
        <v>0</v>
      </c>
    </row>
    <row r="285" spans="2:12" ht="15">
      <c r="B285" s="257" t="s">
        <v>339</v>
      </c>
      <c r="C285" s="258">
        <f>SUM(C7:C283)</f>
        <v>66.85</v>
      </c>
      <c r="D285" s="259">
        <f>SUM(D7:D283)</f>
        <v>75.93</v>
      </c>
      <c r="E285" s="258">
        <f>SUM(E7:E283)</f>
        <v>226.575</v>
      </c>
      <c r="F285" s="256"/>
      <c r="G285" s="256"/>
      <c r="H285" s="256"/>
      <c r="I285" s="260" t="s">
        <v>340</v>
      </c>
      <c r="J285" s="260" t="s">
        <v>341</v>
      </c>
      <c r="K285" s="256"/>
      <c r="L285" s="261">
        <f>SUM(M284:U284)</f>
        <v>0</v>
      </c>
    </row>
    <row r="286" spans="2:23" ht="15">
      <c r="B286" s="262" t="s">
        <v>342</v>
      </c>
      <c r="C286" s="263">
        <f>C285*4</f>
        <v>267.4</v>
      </c>
      <c r="D286" s="264">
        <f>D285*9</f>
        <v>683.3700000000001</v>
      </c>
      <c r="E286" s="263">
        <f>E285*4</f>
        <v>906.3</v>
      </c>
      <c r="F286" s="261">
        <f>SUM(C286:E286)</f>
        <v>1857.0700000000002</v>
      </c>
      <c r="G286" s="4"/>
      <c r="H286" s="4"/>
      <c r="I286" s="4"/>
      <c r="J286" s="4"/>
      <c r="M286" s="265" t="e">
        <f>(M284*100)/L285</f>
        <v>#DIV/0!</v>
      </c>
      <c r="N286" s="266" t="s">
        <v>43</v>
      </c>
      <c r="O286" s="265" t="e">
        <f>O284*100/L285</f>
        <v>#DIV/0!</v>
      </c>
      <c r="P286" s="267" t="s">
        <v>43</v>
      </c>
      <c r="Q286" s="265" t="e">
        <f>(Q284*100)/L285</f>
        <v>#DIV/0!</v>
      </c>
      <c r="R286" s="266" t="s">
        <v>43</v>
      </c>
      <c r="S286" s="265" t="e">
        <f>(S284*100)/L285</f>
        <v>#DIV/0!</v>
      </c>
      <c r="T286" s="267" t="s">
        <v>43</v>
      </c>
      <c r="U286" s="265" t="e">
        <f>(U284*100)/L285</f>
        <v>#DIV/0!</v>
      </c>
      <c r="V286" t="s">
        <v>43</v>
      </c>
      <c r="W286" s="267" t="e">
        <f>SUM(M286:U286)</f>
        <v>#DIV/0!</v>
      </c>
    </row>
    <row r="287" spans="2:21" ht="15">
      <c r="B287" s="268" t="s">
        <v>343</v>
      </c>
      <c r="C287" s="269">
        <f>(C286*100)/F286</f>
        <v>14.399026423344297</v>
      </c>
      <c r="D287" s="269">
        <f>(D286*100)/F286</f>
        <v>36.79828977906057</v>
      </c>
      <c r="E287" s="269">
        <f>(E286*100)/F286</f>
        <v>48.80268379759513</v>
      </c>
      <c r="M287" s="270">
        <v>25</v>
      </c>
      <c r="N287" s="270"/>
      <c r="O287" s="270"/>
      <c r="P287" s="270"/>
      <c r="Q287" s="270">
        <v>40</v>
      </c>
      <c r="R287" s="270"/>
      <c r="S287" s="270"/>
      <c r="T287" s="270"/>
      <c r="U287" s="270">
        <v>35</v>
      </c>
    </row>
    <row r="288" spans="14:21" ht="15">
      <c r="N288" s="271" t="e">
        <f>M286+O286</f>
        <v>#DIV/0!</v>
      </c>
      <c r="O288" s="47"/>
      <c r="P288" s="47"/>
      <c r="Q288" s="47"/>
      <c r="R288" s="271" t="e">
        <f>Q286+S286</f>
        <v>#DIV/0!</v>
      </c>
      <c r="S288" s="47"/>
      <c r="T288" s="47"/>
      <c r="U288" s="271" t="e">
        <f>U286</f>
        <v>#DIV/0!</v>
      </c>
    </row>
    <row r="289" spans="5:6" ht="15">
      <c r="E289" s="272">
        <v>-0.25</v>
      </c>
      <c r="F289">
        <f>F286*25/100</f>
        <v>464.2675000000001</v>
      </c>
    </row>
    <row r="290" spans="5:6" ht="15">
      <c r="E290" s="11" t="s">
        <v>344</v>
      </c>
      <c r="F290" s="2">
        <f>F286-F289</f>
        <v>1392.8025</v>
      </c>
    </row>
    <row r="292" spans="1:3" ht="15">
      <c r="A292" s="273" t="s">
        <v>345</v>
      </c>
      <c r="C292" t="s">
        <v>346</v>
      </c>
    </row>
    <row r="293" spans="1:6" ht="15">
      <c r="A293" s="274" t="s">
        <v>347</v>
      </c>
      <c r="B293" s="275"/>
      <c r="C293" s="276">
        <v>37.7</v>
      </c>
      <c r="D293" s="277">
        <f aca="true" t="shared" si="81" ref="D293:D303">C293*B293/100</f>
        <v>0</v>
      </c>
      <c r="F293" s="278">
        <f>F286+D304</f>
        <v>1857.0700000000002</v>
      </c>
    </row>
    <row r="294" spans="1:4" ht="15">
      <c r="A294" s="279" t="s">
        <v>348</v>
      </c>
      <c r="B294" s="157"/>
      <c r="C294" s="280">
        <v>33</v>
      </c>
      <c r="D294" s="281">
        <f t="shared" si="81"/>
        <v>0</v>
      </c>
    </row>
    <row r="295" spans="1:4" ht="15">
      <c r="A295" s="279" t="s">
        <v>349</v>
      </c>
      <c r="B295" s="157"/>
      <c r="C295" s="280">
        <v>70</v>
      </c>
      <c r="D295" s="281">
        <f t="shared" si="81"/>
        <v>0</v>
      </c>
    </row>
    <row r="296" spans="1:4" ht="15">
      <c r="A296" s="279" t="s">
        <v>350</v>
      </c>
      <c r="B296" s="157"/>
      <c r="C296" s="280">
        <v>70.5</v>
      </c>
      <c r="D296" s="281">
        <f t="shared" si="81"/>
        <v>0</v>
      </c>
    </row>
    <row r="297" spans="1:4" ht="15">
      <c r="A297" s="279" t="s">
        <v>351</v>
      </c>
      <c r="B297" s="157"/>
      <c r="C297" s="280">
        <v>44.9</v>
      </c>
      <c r="D297" s="281">
        <f t="shared" si="81"/>
        <v>0</v>
      </c>
    </row>
    <row r="298" spans="1:4" ht="15">
      <c r="A298" s="279" t="s">
        <v>352</v>
      </c>
      <c r="B298" s="157"/>
      <c r="C298" s="280">
        <v>238</v>
      </c>
      <c r="D298" s="281">
        <f t="shared" si="81"/>
        <v>0</v>
      </c>
    </row>
    <row r="299" spans="1:4" ht="15">
      <c r="A299" s="279" t="s">
        <v>353</v>
      </c>
      <c r="B299" s="157"/>
      <c r="C299" s="280">
        <v>234.5</v>
      </c>
      <c r="D299" s="281">
        <f t="shared" si="81"/>
        <v>0</v>
      </c>
    </row>
    <row r="300" spans="1:4" ht="15">
      <c r="A300" s="279" t="s">
        <v>354</v>
      </c>
      <c r="B300" s="157"/>
      <c r="C300" s="280">
        <v>233.8</v>
      </c>
      <c r="D300" s="281">
        <f t="shared" si="81"/>
        <v>0</v>
      </c>
    </row>
    <row r="301" spans="1:4" ht="15">
      <c r="A301" s="279" t="s">
        <v>355</v>
      </c>
      <c r="B301" s="157"/>
      <c r="C301" s="280">
        <v>44.9</v>
      </c>
      <c r="D301" s="281">
        <f t="shared" si="81"/>
        <v>0</v>
      </c>
    </row>
    <row r="302" spans="1:4" ht="15">
      <c r="A302" s="279" t="s">
        <v>356</v>
      </c>
      <c r="B302" s="157"/>
      <c r="C302" s="280">
        <v>221.2</v>
      </c>
      <c r="D302" s="281">
        <f t="shared" si="81"/>
        <v>0</v>
      </c>
    </row>
    <row r="303" spans="1:4" ht="15">
      <c r="A303" s="282" t="s">
        <v>357</v>
      </c>
      <c r="B303" s="283"/>
      <c r="C303" s="284">
        <v>221.2</v>
      </c>
      <c r="D303" s="285">
        <f t="shared" si="81"/>
        <v>0</v>
      </c>
    </row>
    <row r="304" ht="15">
      <c r="D304" s="278">
        <f>SUM(D293:D302)</f>
        <v>0</v>
      </c>
    </row>
  </sheetData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"/>
  <sheetViews>
    <sheetView zoomScale="90" zoomScaleNormal="90" workbookViewId="0" topLeftCell="A1">
      <selection activeCell="T7" sqref="T7:T20"/>
    </sheetView>
  </sheetViews>
  <sheetFormatPr defaultColWidth="9.140625" defaultRowHeight="15"/>
  <cols>
    <col min="1" max="1" width="18.28125" style="0" customWidth="1"/>
    <col min="2" max="5" width="10.421875" style="0" customWidth="1"/>
    <col min="6" max="10" width="7.140625" style="0" customWidth="1"/>
    <col min="11" max="11" width="6.57421875" style="0" customWidth="1"/>
    <col min="12" max="12" width="7.8515625" style="0" customWidth="1"/>
    <col min="13" max="13" width="7.00390625" style="0" customWidth="1"/>
    <col min="14" max="14" width="8.140625" style="0" customWidth="1"/>
    <col min="15" max="15" width="7.00390625" style="0" customWidth="1"/>
    <col min="16" max="16" width="9.28125" style="0" customWidth="1"/>
    <col min="17" max="17" width="7.140625" style="0" customWidth="1"/>
    <col min="18" max="18" width="8.140625" style="0" customWidth="1"/>
    <col min="19" max="19" width="7.140625" style="0" customWidth="1"/>
    <col min="20" max="20" width="8.140625" style="0" customWidth="1"/>
    <col min="21" max="21" width="7.00390625" style="0" customWidth="1"/>
    <col min="22" max="1025" width="10.421875" style="0" customWidth="1"/>
  </cols>
  <sheetData>
    <row r="1" spans="1:17" ht="15">
      <c r="A1" s="49"/>
      <c r="B1" s="50" t="s">
        <v>43</v>
      </c>
      <c r="C1" s="50" t="s">
        <v>44</v>
      </c>
      <c r="D1" s="51" t="s">
        <v>45</v>
      </c>
      <c r="E1" s="52" t="s">
        <v>46</v>
      </c>
      <c r="M1" s="286" t="s">
        <v>358</v>
      </c>
      <c r="N1" s="286"/>
      <c r="O1" s="286"/>
      <c r="P1" s="286"/>
      <c r="Q1" s="286"/>
    </row>
    <row r="2" spans="1:17" ht="18.75">
      <c r="A2" s="53" t="s">
        <v>47</v>
      </c>
      <c r="B2" s="54">
        <v>12</v>
      </c>
      <c r="C2" s="55">
        <f>B2*Q2/100</f>
        <v>0</v>
      </c>
      <c r="D2" s="56">
        <f>C2/4</f>
        <v>0</v>
      </c>
      <c r="E2" s="52">
        <f>poids*0.8</f>
        <v>0</v>
      </c>
      <c r="M2" s="287" t="s">
        <v>359</v>
      </c>
      <c r="N2" s="286"/>
      <c r="O2" s="286"/>
      <c r="P2" s="286"/>
      <c r="Q2" s="288">
        <f>hypoC</f>
        <v>0</v>
      </c>
    </row>
    <row r="3" spans="1:4" ht="15">
      <c r="A3" s="53" t="s">
        <v>48</v>
      </c>
      <c r="B3" s="54">
        <v>33</v>
      </c>
      <c r="C3" s="55">
        <f>B3*Q2/100</f>
        <v>0</v>
      </c>
      <c r="D3" s="56">
        <f>C3/9</f>
        <v>0</v>
      </c>
    </row>
    <row r="4" spans="1:4" ht="15">
      <c r="A4" s="57" t="s">
        <v>49</v>
      </c>
      <c r="B4" s="58">
        <v>55</v>
      </c>
      <c r="C4" s="59">
        <f>B4*Q2/100</f>
        <v>0</v>
      </c>
      <c r="D4" s="60">
        <f>C4/4</f>
        <v>0</v>
      </c>
    </row>
    <row r="5" spans="13:21" ht="15">
      <c r="M5" t="s">
        <v>50</v>
      </c>
      <c r="O5" t="s">
        <v>50</v>
      </c>
      <c r="Q5" t="s">
        <v>50</v>
      </c>
      <c r="S5" t="s">
        <v>50</v>
      </c>
      <c r="U5" t="s">
        <v>50</v>
      </c>
    </row>
    <row r="6" spans="1:21" ht="15">
      <c r="A6" s="61" t="s">
        <v>51</v>
      </c>
      <c r="B6" s="62" t="s">
        <v>52</v>
      </c>
      <c r="C6" s="62" t="s">
        <v>47</v>
      </c>
      <c r="D6" s="62" t="s">
        <v>53</v>
      </c>
      <c r="E6" s="63" t="s">
        <v>54</v>
      </c>
      <c r="F6" s="64" t="s">
        <v>55</v>
      </c>
      <c r="G6" s="65" t="s">
        <v>56</v>
      </c>
      <c r="H6" s="65" t="s">
        <v>57</v>
      </c>
      <c r="I6" s="66" t="s">
        <v>58</v>
      </c>
      <c r="J6" s="66" t="s">
        <v>59</v>
      </c>
      <c r="K6" s="67" t="s">
        <v>50</v>
      </c>
      <c r="L6" s="68" t="s">
        <v>60</v>
      </c>
      <c r="M6" s="69"/>
      <c r="N6" s="70" t="s">
        <v>61</v>
      </c>
      <c r="O6" s="71"/>
      <c r="P6" s="68" t="s">
        <v>28</v>
      </c>
      <c r="Q6" s="72"/>
      <c r="R6" s="70" t="s">
        <v>62</v>
      </c>
      <c r="S6" s="73"/>
      <c r="T6" s="68" t="s">
        <v>63</v>
      </c>
      <c r="U6" s="72"/>
    </row>
    <row r="7" spans="1:21" ht="15">
      <c r="A7" s="289" t="s">
        <v>64</v>
      </c>
      <c r="B7" s="75"/>
      <c r="C7" s="76">
        <f>(3.2*B7)/100</f>
        <v>0</v>
      </c>
      <c r="D7" s="76">
        <f>1.6*B7/100</f>
        <v>0</v>
      </c>
      <c r="E7" s="77">
        <f>4.6*B7/100</f>
        <v>0</v>
      </c>
      <c r="F7" s="78">
        <f>47.6*B7/100</f>
        <v>0</v>
      </c>
      <c r="G7" s="79"/>
      <c r="H7" s="80">
        <f>1*B7/100</f>
        <v>0</v>
      </c>
      <c r="I7" s="81">
        <f>114*B7/100</f>
        <v>0</v>
      </c>
      <c r="J7" s="81">
        <f>0.1*B7/100</f>
        <v>0</v>
      </c>
      <c r="K7" s="82">
        <v>45.6</v>
      </c>
      <c r="L7" s="93"/>
      <c r="M7" s="290">
        <f>K7*L7/100</f>
        <v>0</v>
      </c>
      <c r="N7" s="291"/>
      <c r="O7" s="292">
        <f>N7*K7/100</f>
        <v>0</v>
      </c>
      <c r="P7" s="93"/>
      <c r="Q7" s="94">
        <f>P7*K7/100</f>
        <v>0</v>
      </c>
      <c r="R7" s="293"/>
      <c r="S7" s="294">
        <f>R7*K7/100</f>
        <v>0</v>
      </c>
      <c r="T7" s="93"/>
      <c r="U7" s="94">
        <f>T7*K7/100</f>
        <v>0</v>
      </c>
    </row>
    <row r="8" spans="1:21" ht="15">
      <c r="A8" s="96" t="s">
        <v>360</v>
      </c>
      <c r="B8" s="90"/>
      <c r="C8" s="91">
        <f>6.3*B8</f>
        <v>0</v>
      </c>
      <c r="D8" s="91">
        <f>2.6*B8</f>
        <v>0</v>
      </c>
      <c r="E8" s="92">
        <f>3.9*B8</f>
        <v>0</v>
      </c>
      <c r="F8" s="78">
        <f>3.9*B8/100</f>
        <v>0</v>
      </c>
      <c r="G8" s="79"/>
      <c r="H8" s="80">
        <f>2*B8/100</f>
        <v>0</v>
      </c>
      <c r="I8" s="81">
        <f>124*B8/100</f>
        <v>0</v>
      </c>
      <c r="J8" s="81">
        <f>0.3*B8/100</f>
        <v>0</v>
      </c>
      <c r="K8" s="82">
        <v>64.2</v>
      </c>
      <c r="L8" s="93"/>
      <c r="M8" s="290">
        <f>L8*K8/1</f>
        <v>0</v>
      </c>
      <c r="N8" s="291"/>
      <c r="O8" s="292">
        <f>N8*K8</f>
        <v>0</v>
      </c>
      <c r="P8" s="93"/>
      <c r="Q8" s="94">
        <f>P8*$K$8/1</f>
        <v>0</v>
      </c>
      <c r="R8" s="295"/>
      <c r="S8" s="294">
        <f>R8*$K$8/1</f>
        <v>0</v>
      </c>
      <c r="T8" s="93"/>
      <c r="U8" s="94">
        <f>T8*$K$8</f>
        <v>0</v>
      </c>
    </row>
    <row r="9" spans="1:21" ht="15">
      <c r="A9" s="96" t="s">
        <v>92</v>
      </c>
      <c r="B9" s="90"/>
      <c r="C9" s="91">
        <f>24*B9/100</f>
        <v>0</v>
      </c>
      <c r="D9" s="91">
        <f>28*B9/100</f>
        <v>0</v>
      </c>
      <c r="E9" s="92"/>
      <c r="F9" s="113"/>
      <c r="G9" s="79"/>
      <c r="H9" s="80">
        <f>17*B9/100</f>
        <v>0</v>
      </c>
      <c r="I9" s="81">
        <f>650*B9/100</f>
        <v>0</v>
      </c>
      <c r="J9" s="81">
        <f>0.4*B9/100</f>
        <v>0</v>
      </c>
      <c r="K9" s="82">
        <v>348</v>
      </c>
      <c r="L9" s="93"/>
      <c r="M9" s="290">
        <f>K9*L9/100</f>
        <v>0</v>
      </c>
      <c r="N9" s="291"/>
      <c r="O9" s="292">
        <f>N9*K9/100</f>
        <v>0</v>
      </c>
      <c r="P9" s="93"/>
      <c r="Q9" s="94">
        <f>P9*K9/100</f>
        <v>0</v>
      </c>
      <c r="R9" s="295"/>
      <c r="S9" s="294">
        <f>R9*K9/100</f>
        <v>0</v>
      </c>
      <c r="T9" s="93"/>
      <c r="U9" s="94">
        <f>T9*K9/100</f>
        <v>0</v>
      </c>
    </row>
    <row r="10" spans="1:21" ht="15">
      <c r="A10" s="296" t="s">
        <v>110</v>
      </c>
      <c r="B10" s="125"/>
      <c r="C10" s="117">
        <f>7.3*B10/100</f>
        <v>0</v>
      </c>
      <c r="D10" s="117">
        <f>11*B10/100</f>
        <v>0</v>
      </c>
      <c r="E10" s="118">
        <f>73*B10/100</f>
        <v>0</v>
      </c>
      <c r="F10" s="78">
        <f>31.5*B10/100</f>
        <v>0</v>
      </c>
      <c r="G10" s="80">
        <f>40*B10/100</f>
        <v>0</v>
      </c>
      <c r="H10" s="80">
        <f>4.6*B10/100</f>
        <v>0</v>
      </c>
      <c r="I10" s="81">
        <f>293*B10/100</f>
        <v>0</v>
      </c>
      <c r="J10" s="81">
        <f>8*B10/100</f>
        <v>0</v>
      </c>
      <c r="K10" s="82">
        <v>398</v>
      </c>
      <c r="L10" s="93"/>
      <c r="M10" s="290">
        <f>K10*L10/100</f>
        <v>0</v>
      </c>
      <c r="N10" s="291"/>
      <c r="O10" s="292">
        <f>N10*K10/100</f>
        <v>0</v>
      </c>
      <c r="P10" s="93"/>
      <c r="Q10" s="94">
        <f>P10*K10/100</f>
        <v>0</v>
      </c>
      <c r="R10" s="295"/>
      <c r="S10" s="294">
        <f>R10*K10/100</f>
        <v>0</v>
      </c>
      <c r="T10" s="93"/>
      <c r="U10" s="94">
        <f>T10*K10/100</f>
        <v>0</v>
      </c>
    </row>
    <row r="11" spans="1:21" ht="15">
      <c r="A11" s="296" t="s">
        <v>361</v>
      </c>
      <c r="B11" s="125"/>
      <c r="C11" s="117">
        <f>11*B11/100</f>
        <v>0</v>
      </c>
      <c r="D11" s="117">
        <f>8*B11/100</f>
        <v>0</v>
      </c>
      <c r="E11" s="118">
        <f>60*B11/100</f>
        <v>0</v>
      </c>
      <c r="F11" s="78"/>
      <c r="G11" s="80"/>
      <c r="H11" s="80"/>
      <c r="I11" s="81"/>
      <c r="J11" s="81"/>
      <c r="K11" s="82">
        <v>355</v>
      </c>
      <c r="L11" s="343"/>
      <c r="M11" s="290">
        <f>L11*K11/100</f>
        <v>0</v>
      </c>
      <c r="N11" s="291"/>
      <c r="O11" s="292">
        <f>N11*K11/100</f>
        <v>0</v>
      </c>
      <c r="P11" s="93"/>
      <c r="Q11" s="94">
        <f>K11*P11/100</f>
        <v>0</v>
      </c>
      <c r="R11" s="295"/>
      <c r="S11" s="294">
        <f>R11*K11/100</f>
        <v>0</v>
      </c>
      <c r="T11" s="93"/>
      <c r="U11" s="94">
        <f>T11*K11/100</f>
        <v>0</v>
      </c>
    </row>
    <row r="12" spans="1:21" ht="15">
      <c r="A12" s="297" t="s">
        <v>108</v>
      </c>
      <c r="B12" s="298"/>
      <c r="C12" s="117">
        <f>9*B12/100</f>
        <v>0</v>
      </c>
      <c r="D12" s="117">
        <f>0.3*B12/100</f>
        <v>0</v>
      </c>
      <c r="E12" s="118">
        <f>55*B12/100</f>
        <v>0</v>
      </c>
      <c r="F12" s="119">
        <f>1.9*B12/100</f>
        <v>0</v>
      </c>
      <c r="G12" s="120">
        <f>52.9*B12/100</f>
        <v>0</v>
      </c>
      <c r="H12" s="121"/>
      <c r="I12" s="81">
        <f>26*B12/100</f>
        <v>0</v>
      </c>
      <c r="J12" s="81">
        <f>1.1*B12/100</f>
        <v>0</v>
      </c>
      <c r="K12" s="82">
        <v>258.7</v>
      </c>
      <c r="L12" s="93"/>
      <c r="M12" s="299">
        <f>L12*K12/100</f>
        <v>0</v>
      </c>
      <c r="N12" s="300"/>
      <c r="O12" s="301">
        <f>N12*K12/100</f>
        <v>0</v>
      </c>
      <c r="P12" s="302"/>
      <c r="Q12" s="299">
        <f>P12*K12/100</f>
        <v>0</v>
      </c>
      <c r="R12" s="303"/>
      <c r="S12" s="301">
        <f>R12*K12/100</f>
        <v>0</v>
      </c>
      <c r="T12" s="302"/>
      <c r="U12" s="94">
        <f>T12*K12/100</f>
        <v>0</v>
      </c>
    </row>
    <row r="13" spans="1:21" ht="15">
      <c r="A13" s="297" t="s">
        <v>362</v>
      </c>
      <c r="B13" s="298"/>
      <c r="C13" s="117">
        <f>0.5*B13</f>
        <v>0</v>
      </c>
      <c r="D13" s="117">
        <f>1.1*B13</f>
        <v>0</v>
      </c>
      <c r="E13" s="118">
        <f>5.9*B13</f>
        <v>0</v>
      </c>
      <c r="F13" s="119"/>
      <c r="G13" s="120"/>
      <c r="H13" s="121"/>
      <c r="I13" s="81"/>
      <c r="J13" s="81"/>
      <c r="K13" s="82">
        <v>36</v>
      </c>
      <c r="L13" s="93"/>
      <c r="M13" s="299">
        <f>L13*K13</f>
        <v>0</v>
      </c>
      <c r="N13" s="300"/>
      <c r="O13" s="301">
        <f>K13*N48</f>
        <v>0</v>
      </c>
      <c r="P13" s="302"/>
      <c r="Q13" s="299">
        <f>P13*K13</f>
        <v>0</v>
      </c>
      <c r="R13" s="303"/>
      <c r="S13" s="301">
        <f>R13*K13</f>
        <v>0</v>
      </c>
      <c r="T13" s="302"/>
      <c r="U13" s="94">
        <f>T13*K13</f>
        <v>0</v>
      </c>
    </row>
    <row r="14" spans="1:21" ht="15">
      <c r="A14" s="156" t="s">
        <v>177</v>
      </c>
      <c r="B14" s="149"/>
      <c r="C14" s="150">
        <f>20*B14/100</f>
        <v>0</v>
      </c>
      <c r="D14" s="150">
        <f>10*B14/100</f>
        <v>0</v>
      </c>
      <c r="E14" s="151"/>
      <c r="F14" s="113"/>
      <c r="G14" s="79"/>
      <c r="H14" s="80">
        <f>5*B14/100</f>
        <v>0</v>
      </c>
      <c r="I14" s="81">
        <f>15*B14/100</f>
        <v>0</v>
      </c>
      <c r="J14" s="81">
        <f>2.5*B14/100</f>
        <v>0</v>
      </c>
      <c r="K14" s="82">
        <v>170</v>
      </c>
      <c r="L14" s="93"/>
      <c r="M14" s="299">
        <f>K14*L14/100</f>
        <v>0</v>
      </c>
      <c r="N14" s="300"/>
      <c r="O14" s="301">
        <f aca="true" t="shared" si="0" ref="O14:O19">N14*K14/100</f>
        <v>0</v>
      </c>
      <c r="P14" s="302"/>
      <c r="Q14" s="299">
        <f>P14*K14/100</f>
        <v>0</v>
      </c>
      <c r="R14" s="301"/>
      <c r="S14" s="301">
        <f>R14*$K$14/100</f>
        <v>0</v>
      </c>
      <c r="T14" s="302"/>
      <c r="U14" s="94">
        <f>T14*K14/100</f>
        <v>0</v>
      </c>
    </row>
    <row r="15" spans="1:21" ht="15">
      <c r="A15" s="171" t="s">
        <v>208</v>
      </c>
      <c r="B15" s="157"/>
      <c r="C15" s="166">
        <f>2*B15/100</f>
        <v>0</v>
      </c>
      <c r="D15" s="167"/>
      <c r="E15" s="168">
        <f>20*B15/100</f>
        <v>0</v>
      </c>
      <c r="F15" s="113"/>
      <c r="G15" s="80">
        <f>20*B15/100</f>
        <v>0</v>
      </c>
      <c r="H15" s="79"/>
      <c r="I15" s="79"/>
      <c r="J15" s="81">
        <f>0.3*B15/100</f>
        <v>0</v>
      </c>
      <c r="K15" s="82">
        <v>88</v>
      </c>
      <c r="L15" s="93"/>
      <c r="M15" s="299">
        <f>K15*L15/100</f>
        <v>0</v>
      </c>
      <c r="N15" s="300"/>
      <c r="O15" s="301">
        <f t="shared" si="0"/>
        <v>0</v>
      </c>
      <c r="P15" s="302"/>
      <c r="Q15" s="299">
        <f>K15*P15/100</f>
        <v>0</v>
      </c>
      <c r="R15" s="301"/>
      <c r="S15" s="301">
        <f>R15*K15/100</f>
        <v>0</v>
      </c>
      <c r="T15" s="302"/>
      <c r="U15" s="94">
        <f>88*T15/100</f>
        <v>0</v>
      </c>
    </row>
    <row r="16" spans="1:21" ht="15">
      <c r="A16" s="190" t="s">
        <v>266</v>
      </c>
      <c r="B16" s="184"/>
      <c r="C16" s="185">
        <f>1.5*B16/100</f>
        <v>0</v>
      </c>
      <c r="D16" s="186"/>
      <c r="E16" s="187">
        <f>5*B16/100</f>
        <v>0</v>
      </c>
      <c r="F16" s="78">
        <f>5*B16/100</f>
        <v>0</v>
      </c>
      <c r="G16" s="79"/>
      <c r="H16" s="79"/>
      <c r="I16" s="81">
        <f>30*B16/100</f>
        <v>0</v>
      </c>
      <c r="J16" s="81">
        <f>1*B16/100</f>
        <v>0</v>
      </c>
      <c r="K16" s="82">
        <v>26</v>
      </c>
      <c r="L16" s="93"/>
      <c r="M16" s="299">
        <f>K16*L16/100</f>
        <v>0</v>
      </c>
      <c r="N16" s="300"/>
      <c r="O16" s="301">
        <f t="shared" si="0"/>
        <v>0</v>
      </c>
      <c r="P16" s="302"/>
      <c r="Q16" s="299">
        <f>P16*K16/100</f>
        <v>0</v>
      </c>
      <c r="R16" s="301"/>
      <c r="S16" s="301">
        <f>R16*K16/100</f>
        <v>0</v>
      </c>
      <c r="T16" s="302"/>
      <c r="U16" s="94">
        <f>K16*T16/100</f>
        <v>0</v>
      </c>
    </row>
    <row r="17" spans="1:21" ht="15">
      <c r="A17" s="190" t="s">
        <v>283</v>
      </c>
      <c r="B17" s="184"/>
      <c r="C17" s="186"/>
      <c r="D17" s="186"/>
      <c r="E17" s="187">
        <f>12*B17/100</f>
        <v>0</v>
      </c>
      <c r="F17" s="78">
        <f>12*B17/100</f>
        <v>0</v>
      </c>
      <c r="G17" s="79"/>
      <c r="H17" s="79"/>
      <c r="I17" s="81">
        <f>10*B17/100</f>
        <v>0</v>
      </c>
      <c r="J17" s="81">
        <f>0.5*B17/100</f>
        <v>0</v>
      </c>
      <c r="K17" s="82">
        <v>48</v>
      </c>
      <c r="L17" s="93"/>
      <c r="M17" s="299">
        <f>K17*L17/100</f>
        <v>0</v>
      </c>
      <c r="N17" s="300"/>
      <c r="O17" s="301">
        <f t="shared" si="0"/>
        <v>0</v>
      </c>
      <c r="P17" s="302"/>
      <c r="Q17" s="299">
        <f>P17*K17/100</f>
        <v>0</v>
      </c>
      <c r="R17" s="303"/>
      <c r="S17" s="301">
        <f>R17*$K$17/100</f>
        <v>0</v>
      </c>
      <c r="T17" s="302"/>
      <c r="U17" s="94">
        <f>T17*K17/100</f>
        <v>0</v>
      </c>
    </row>
    <row r="18" spans="1:21" ht="15">
      <c r="A18" s="171" t="s">
        <v>292</v>
      </c>
      <c r="B18" s="157"/>
      <c r="C18" s="167"/>
      <c r="D18" s="166">
        <f>82.5*B18/100</f>
        <v>0</v>
      </c>
      <c r="E18" s="178"/>
      <c r="F18" s="113"/>
      <c r="G18" s="79"/>
      <c r="H18" s="80">
        <f>52.3*B18/100</f>
        <v>0</v>
      </c>
      <c r="I18" s="81">
        <f>15*B18/100</f>
        <v>0</v>
      </c>
      <c r="J18" s="81">
        <f>0.2*B18/100</f>
        <v>0</v>
      </c>
      <c r="K18" s="82">
        <v>742</v>
      </c>
      <c r="L18" s="93"/>
      <c r="M18" s="299">
        <f>742.5*L18/100</f>
        <v>0</v>
      </c>
      <c r="N18" s="300"/>
      <c r="O18" s="301">
        <f t="shared" si="0"/>
        <v>0</v>
      </c>
      <c r="P18" s="302"/>
      <c r="Q18" s="299">
        <f>P18*$K$18/100</f>
        <v>0</v>
      </c>
      <c r="R18" s="301"/>
      <c r="S18" s="301">
        <f>R18*$K$18/100</f>
        <v>0</v>
      </c>
      <c r="T18" s="302"/>
      <c r="U18" s="94">
        <f>T18*$K$18/100</f>
        <v>0</v>
      </c>
    </row>
    <row r="19" spans="1:21" ht="15">
      <c r="A19" s="171" t="s">
        <v>293</v>
      </c>
      <c r="B19" s="157"/>
      <c r="C19" s="167"/>
      <c r="D19" s="166">
        <f>(100*B19)/100</f>
        <v>0</v>
      </c>
      <c r="E19" s="178"/>
      <c r="F19" s="113"/>
      <c r="G19" s="79"/>
      <c r="H19" s="80">
        <f>10*B19/100</f>
        <v>0</v>
      </c>
      <c r="I19" s="79"/>
      <c r="J19" s="79"/>
      <c r="K19" s="82">
        <v>900</v>
      </c>
      <c r="L19" s="304"/>
      <c r="M19" s="299">
        <f>742.5*L19/100</f>
        <v>0</v>
      </c>
      <c r="N19" s="300"/>
      <c r="O19" s="301">
        <f t="shared" si="0"/>
        <v>0</v>
      </c>
      <c r="P19" s="302"/>
      <c r="Q19" s="299">
        <f>K19*P19/100</f>
        <v>0</v>
      </c>
      <c r="R19" s="301"/>
      <c r="S19" s="301">
        <f>R19*K19/100</f>
        <v>0</v>
      </c>
      <c r="T19" s="302"/>
      <c r="U19" s="94">
        <f>K19*T19/100</f>
        <v>0</v>
      </c>
    </row>
    <row r="20" spans="1:21" ht="15">
      <c r="A20" s="171" t="s">
        <v>363</v>
      </c>
      <c r="B20" s="157"/>
      <c r="C20" s="170">
        <f>25.4*B20/100</f>
        <v>0</v>
      </c>
      <c r="D20" s="166">
        <f>53.4*B20/100</f>
        <v>0</v>
      </c>
      <c r="E20" s="175">
        <f>1.5*B20/100</f>
        <v>0</v>
      </c>
      <c r="F20" s="113"/>
      <c r="G20" s="79"/>
      <c r="H20" s="80"/>
      <c r="I20" s="79"/>
      <c r="J20" s="79"/>
      <c r="K20" s="82">
        <v>631</v>
      </c>
      <c r="L20" s="304"/>
      <c r="M20" s="299">
        <f>L20*K20/100</f>
        <v>0</v>
      </c>
      <c r="N20" s="300"/>
      <c r="O20" s="301">
        <f>K20*N20/100</f>
        <v>0</v>
      </c>
      <c r="P20" s="302"/>
      <c r="Q20" s="299">
        <f>K20*P20/100</f>
        <v>0</v>
      </c>
      <c r="R20" s="301"/>
      <c r="S20" s="301">
        <f>R20*K20/100</f>
        <v>0</v>
      </c>
      <c r="T20" s="302"/>
      <c r="U20" s="94">
        <f>K20*T20/100</f>
        <v>0</v>
      </c>
    </row>
    <row r="21" spans="1:21" ht="15">
      <c r="A21" s="305" t="s">
        <v>326</v>
      </c>
      <c r="B21" s="234"/>
      <c r="C21" s="235">
        <f>6.8*B21/100</f>
        <v>0</v>
      </c>
      <c r="D21" s="235">
        <f>30*B21/100</f>
        <v>0</v>
      </c>
      <c r="E21" s="236">
        <f>56.3*B21/100</f>
        <v>0</v>
      </c>
      <c r="F21" s="78">
        <f>56.3*B21/100</f>
        <v>0</v>
      </c>
      <c r="G21" s="79"/>
      <c r="H21" s="79"/>
      <c r="I21" s="81"/>
      <c r="J21" s="81"/>
      <c r="K21" s="82">
        <v>532</v>
      </c>
      <c r="L21" s="306"/>
      <c r="M21" s="290">
        <f>742.5*L21/100</f>
        <v>0</v>
      </c>
      <c r="N21" s="291"/>
      <c r="O21" s="292">
        <f>N21*K21/100</f>
        <v>0</v>
      </c>
      <c r="P21" s="173"/>
      <c r="Q21" s="94">
        <f>K21*P21/100</f>
        <v>0</v>
      </c>
      <c r="R21" s="307"/>
      <c r="S21" s="294">
        <f>R21*K21/100</f>
        <v>0</v>
      </c>
      <c r="T21" s="173"/>
      <c r="U21" s="94">
        <f>K21*T21/100</f>
        <v>0</v>
      </c>
    </row>
    <row r="22" spans="1:21" ht="15">
      <c r="A22" s="308" t="s">
        <v>364</v>
      </c>
      <c r="B22" s="229"/>
      <c r="C22" s="230">
        <f>6*B22/100</f>
        <v>0</v>
      </c>
      <c r="D22" s="230">
        <f>7*B22/100</f>
        <v>0</v>
      </c>
      <c r="E22" s="231">
        <f>80*B22/100</f>
        <v>0</v>
      </c>
      <c r="F22" s="219"/>
      <c r="G22" s="209"/>
      <c r="H22" s="209"/>
      <c r="I22" s="220"/>
      <c r="J22" s="220"/>
      <c r="K22" s="221">
        <v>410</v>
      </c>
      <c r="L22" s="306"/>
      <c r="M22" s="290">
        <f>742.5*L22/100</f>
        <v>0</v>
      </c>
      <c r="N22" s="309"/>
      <c r="O22" s="310">
        <f>N22*K22/100</f>
        <v>0</v>
      </c>
      <c r="P22" s="173"/>
      <c r="Q22" s="94">
        <f>K22*P22/100</f>
        <v>0</v>
      </c>
      <c r="R22" s="307"/>
      <c r="S22" s="294">
        <f>R22*K22/100</f>
        <v>0</v>
      </c>
      <c r="T22" s="173"/>
      <c r="U22" s="94">
        <f>K22*T22/100</f>
        <v>0</v>
      </c>
    </row>
    <row r="23" spans="1:21" ht="15">
      <c r="A23" s="308" t="s">
        <v>323</v>
      </c>
      <c r="B23" s="229"/>
      <c r="C23" s="238"/>
      <c r="D23" s="238"/>
      <c r="E23" s="231">
        <f>68*B23/100</f>
        <v>0</v>
      </c>
      <c r="F23" s="219">
        <f>68*B23/100</f>
        <v>0</v>
      </c>
      <c r="G23" s="209"/>
      <c r="H23" s="209"/>
      <c r="I23" s="220"/>
      <c r="J23" s="220"/>
      <c r="K23" s="221">
        <v>274</v>
      </c>
      <c r="L23" s="306"/>
      <c r="M23" s="290">
        <f>742.5*L23/100</f>
        <v>0</v>
      </c>
      <c r="N23" s="309"/>
      <c r="O23" s="310">
        <f>N23*K23/100</f>
        <v>0</v>
      </c>
      <c r="P23" s="173"/>
      <c r="Q23" s="222">
        <f>P23*K23</f>
        <v>0</v>
      </c>
      <c r="R23" s="307"/>
      <c r="S23" s="311">
        <f>R23*K23</f>
        <v>0</v>
      </c>
      <c r="T23" s="173"/>
      <c r="U23" s="222">
        <f>T23*K23</f>
        <v>0</v>
      </c>
    </row>
    <row r="24" spans="1:21" ht="15">
      <c r="A24" s="308" t="s">
        <v>365</v>
      </c>
      <c r="B24" s="229"/>
      <c r="C24" s="312">
        <f>6*B24/100</f>
        <v>0</v>
      </c>
      <c r="D24" s="312">
        <f>31.6*B24</f>
        <v>0</v>
      </c>
      <c r="E24" s="231">
        <f>57.3*B24/100</f>
        <v>0</v>
      </c>
      <c r="F24" s="219"/>
      <c r="G24" s="209"/>
      <c r="H24" s="209"/>
      <c r="I24" s="220"/>
      <c r="J24" s="220"/>
      <c r="K24" s="221">
        <v>544</v>
      </c>
      <c r="L24" s="306"/>
      <c r="M24" s="290">
        <f>742.5*L24/100</f>
        <v>0</v>
      </c>
      <c r="N24" s="309"/>
      <c r="O24" s="310">
        <f>N24*K24/100</f>
        <v>0</v>
      </c>
      <c r="P24" s="173"/>
      <c r="Q24" s="222">
        <f>P24*K24</f>
        <v>0</v>
      </c>
      <c r="R24" s="307"/>
      <c r="S24" s="311">
        <f>R24*K24</f>
        <v>0</v>
      </c>
      <c r="T24" s="173"/>
      <c r="U24" s="222">
        <f>T24*K24</f>
        <v>0</v>
      </c>
    </row>
    <row r="25" spans="1:21" ht="15">
      <c r="A25" s="313" t="s">
        <v>338</v>
      </c>
      <c r="B25" s="242"/>
      <c r="C25" s="243"/>
      <c r="D25" s="243"/>
      <c r="E25" s="244">
        <f>B25*100/100</f>
        <v>0</v>
      </c>
      <c r="F25" s="245">
        <f>100*B25/100</f>
        <v>0</v>
      </c>
      <c r="G25" s="246"/>
      <c r="H25" s="246"/>
      <c r="I25" s="246"/>
      <c r="J25" s="246"/>
      <c r="K25" s="247">
        <v>400</v>
      </c>
      <c r="L25" s="314"/>
      <c r="M25" s="315">
        <f>K25*L25/100</f>
        <v>0</v>
      </c>
      <c r="N25" s="316"/>
      <c r="O25" s="317">
        <f>N25*K25/100</f>
        <v>0</v>
      </c>
      <c r="P25" s="318"/>
      <c r="Q25" s="251">
        <f>K25*P25/100</f>
        <v>0</v>
      </c>
      <c r="R25" s="319"/>
      <c r="S25" s="320">
        <f>R25*$K$18/100</f>
        <v>0</v>
      </c>
      <c r="T25" s="248"/>
      <c r="U25" s="251">
        <f>K25*T25/100</f>
        <v>0</v>
      </c>
    </row>
    <row r="26" spans="6:21" ht="15">
      <c r="F26" s="254">
        <f>SUM(F7:F25)</f>
        <v>0</v>
      </c>
      <c r="G26" s="254">
        <f>SUM(G7:G25)</f>
        <v>0</v>
      </c>
      <c r="H26" s="254">
        <f>SUM(H7:H25)</f>
        <v>0</v>
      </c>
      <c r="I26" s="254">
        <f>SUM(I7:I25)</f>
        <v>0</v>
      </c>
      <c r="J26" s="254">
        <f>SUM(J7:J25)</f>
        <v>0</v>
      </c>
      <c r="M26" s="255">
        <f>SUM(M7:M25)</f>
        <v>0</v>
      </c>
      <c r="N26" s="256"/>
      <c r="O26" s="255">
        <f>SUM(O7:O25)</f>
        <v>0</v>
      </c>
      <c r="Q26" s="255">
        <f>SUM(Q7:Q25)</f>
        <v>0</v>
      </c>
      <c r="R26" s="256"/>
      <c r="S26" s="255">
        <f>SUM(S7:S25)</f>
        <v>0</v>
      </c>
      <c r="U26" s="255">
        <f>SUM(U7:U25)</f>
        <v>0</v>
      </c>
    </row>
    <row r="27" spans="2:12" ht="15">
      <c r="B27" s="257" t="s">
        <v>339</v>
      </c>
      <c r="C27" s="258">
        <f>SUM(C7:C25)</f>
        <v>0</v>
      </c>
      <c r="D27" s="259">
        <f>SUM(D7:D25)</f>
        <v>0</v>
      </c>
      <c r="E27" s="258">
        <f>SUM(E7:E25)</f>
        <v>0</v>
      </c>
      <c r="F27" s="256"/>
      <c r="G27" s="256"/>
      <c r="H27" s="256"/>
      <c r="I27" s="260" t="s">
        <v>340</v>
      </c>
      <c r="J27" s="260" t="s">
        <v>341</v>
      </c>
      <c r="K27" s="256"/>
      <c r="L27" s="261">
        <f>SUM(M26:U26)</f>
        <v>0</v>
      </c>
    </row>
    <row r="28" spans="2:23" ht="15">
      <c r="B28" s="262" t="s">
        <v>342</v>
      </c>
      <c r="C28" s="263">
        <f>C27*4</f>
        <v>0</v>
      </c>
      <c r="D28" s="264">
        <f>D27*9</f>
        <v>0</v>
      </c>
      <c r="E28" s="263">
        <f>E27*4</f>
        <v>0</v>
      </c>
      <c r="F28" s="261">
        <f>SUM(C28:E28)</f>
        <v>0</v>
      </c>
      <c r="G28" s="4"/>
      <c r="H28" s="4"/>
      <c r="I28" s="4"/>
      <c r="J28" s="4"/>
      <c r="M28" s="265" t="e">
        <f>(M26*100)/L27</f>
        <v>#DIV/0!</v>
      </c>
      <c r="N28" s="266" t="s">
        <v>43</v>
      </c>
      <c r="O28" s="265" t="e">
        <f>O26*100/L27</f>
        <v>#DIV/0!</v>
      </c>
      <c r="P28" s="267" t="s">
        <v>43</v>
      </c>
      <c r="Q28" s="265" t="e">
        <f>(Q26*100)/L27</f>
        <v>#DIV/0!</v>
      </c>
      <c r="R28" s="266" t="s">
        <v>43</v>
      </c>
      <c r="S28" s="265" t="e">
        <f>(S26*100)/L27</f>
        <v>#DIV/0!</v>
      </c>
      <c r="T28" s="267" t="s">
        <v>43</v>
      </c>
      <c r="U28" s="265" t="e">
        <f>(U26*100)/L27</f>
        <v>#DIV/0!</v>
      </c>
      <c r="V28" t="s">
        <v>43</v>
      </c>
      <c r="W28" s="267" t="e">
        <f>SUM(M28:U28)</f>
        <v>#DIV/0!</v>
      </c>
    </row>
    <row r="29" spans="2:21" ht="15">
      <c r="B29" s="268" t="s">
        <v>343</v>
      </c>
      <c r="C29" s="269" t="e">
        <f>(C28*100)/F28</f>
        <v>#DIV/0!</v>
      </c>
      <c r="D29" s="269" t="e">
        <f>(D28*100)/F28</f>
        <v>#DIV/0!</v>
      </c>
      <c r="E29" s="269" t="e">
        <f>(E28*100)/F28</f>
        <v>#DIV/0!</v>
      </c>
      <c r="M29" s="270">
        <v>25</v>
      </c>
      <c r="N29" s="270"/>
      <c r="O29" s="270"/>
      <c r="P29" s="270"/>
      <c r="Q29" s="270">
        <v>40</v>
      </c>
      <c r="R29" s="270"/>
      <c r="S29" s="270"/>
      <c r="T29" s="270"/>
      <c r="U29" s="270">
        <v>35</v>
      </c>
    </row>
    <row r="30" spans="14:21" ht="15">
      <c r="N30" s="271" t="e">
        <f>M28+O28</f>
        <v>#DIV/0!</v>
      </c>
      <c r="O30" s="47"/>
      <c r="P30" s="47"/>
      <c r="Q30" s="47"/>
      <c r="R30" s="271" t="e">
        <f>Q28+S28</f>
        <v>#DIV/0!</v>
      </c>
      <c r="S30" s="47"/>
      <c r="T30" s="47"/>
      <c r="U30" s="271" t="e">
        <f>U28</f>
        <v>#DIV/0!</v>
      </c>
    </row>
  </sheetData>
  <printOptions/>
  <pageMargins left="0.7" right="0.7" top="0.75" bottom="0.75" header="0.511805555555555" footer="0.51180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zoomScale="93" zoomScaleNormal="93" workbookViewId="0" topLeftCell="A1">
      <selection activeCell="K36" sqref="K36"/>
    </sheetView>
  </sheetViews>
  <sheetFormatPr defaultColWidth="9.140625" defaultRowHeight="15"/>
  <cols>
    <col min="1" max="1" width="14.57421875" style="0" bestFit="1" customWidth="1"/>
    <col min="2" max="8" width="12.28125" style="0" bestFit="1" customWidth="1"/>
    <col min="9" max="9" width="11.57421875" style="0" bestFit="1" customWidth="1"/>
    <col min="10" max="10" width="11.140625" style="0" bestFit="1" customWidth="1"/>
    <col min="11" max="1025" width="10.421875" style="0" customWidth="1"/>
  </cols>
  <sheetData>
    <row r="1" spans="2:12" ht="15">
      <c r="B1" s="321" t="s">
        <v>366</v>
      </c>
      <c r="C1" s="322" t="s">
        <v>367</v>
      </c>
      <c r="D1" s="45" t="s">
        <v>368</v>
      </c>
      <c r="E1" s="323" t="s">
        <v>369</v>
      </c>
      <c r="F1" s="45" t="s">
        <v>370</v>
      </c>
      <c r="G1" s="323" t="s">
        <v>371</v>
      </c>
      <c r="H1" s="45" t="s">
        <v>372</v>
      </c>
      <c r="I1" s="324" t="s">
        <v>373</v>
      </c>
      <c r="J1" s="325" t="s">
        <v>374</v>
      </c>
      <c r="K1" s="326" t="s">
        <v>375</v>
      </c>
      <c r="L1" s="326" t="s">
        <v>376</v>
      </c>
    </row>
    <row r="2" spans="2:12" ht="15">
      <c r="B2" s="327"/>
      <c r="C2" s="328"/>
      <c r="D2" s="255"/>
      <c r="E2" s="328"/>
      <c r="F2" s="255"/>
      <c r="G2" s="329"/>
      <c r="H2" s="255"/>
      <c r="I2" s="329"/>
      <c r="J2" s="330"/>
      <c r="K2" s="331"/>
      <c r="L2" s="330"/>
    </row>
    <row r="3" spans="1:12" ht="15">
      <c r="A3" s="332" t="s">
        <v>377</v>
      </c>
      <c r="B3" s="333"/>
      <c r="C3" s="341"/>
      <c r="D3" s="342"/>
      <c r="E3" s="341"/>
      <c r="F3" s="342"/>
      <c r="G3" s="341"/>
      <c r="H3" s="342"/>
      <c r="I3" s="341"/>
      <c r="J3" s="344"/>
      <c r="K3" s="323"/>
      <c r="L3" s="45"/>
    </row>
    <row r="4" spans="1:12" ht="15">
      <c r="A4" s="334" t="s">
        <v>382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s="1" customFormat="1" ht="1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1:12" ht="15">
      <c r="A6" s="287" t="s">
        <v>10</v>
      </c>
      <c r="B6" s="335" t="e">
        <f aca="true" t="shared" si="0" ref="B6:L6">B2/(taille*taille)</f>
        <v>#DIV/0!</v>
      </c>
      <c r="C6" s="336" t="e">
        <f t="shared" si="0"/>
        <v>#DIV/0!</v>
      </c>
      <c r="D6" s="336" t="e">
        <f t="shared" si="0"/>
        <v>#DIV/0!</v>
      </c>
      <c r="E6" s="336" t="e">
        <f t="shared" si="0"/>
        <v>#DIV/0!</v>
      </c>
      <c r="F6" s="336" t="e">
        <f t="shared" si="0"/>
        <v>#DIV/0!</v>
      </c>
      <c r="G6" s="336" t="e">
        <f t="shared" si="0"/>
        <v>#DIV/0!</v>
      </c>
      <c r="H6" s="336" t="e">
        <f t="shared" si="0"/>
        <v>#DIV/0!</v>
      </c>
      <c r="I6" s="336" t="e">
        <f t="shared" si="0"/>
        <v>#DIV/0!</v>
      </c>
      <c r="J6" s="336" t="e">
        <f t="shared" si="0"/>
        <v>#DIV/0!</v>
      </c>
      <c r="K6" s="336" t="e">
        <f t="shared" si="0"/>
        <v>#DIV/0!</v>
      </c>
      <c r="L6" s="336" t="e">
        <f t="shared" si="0"/>
        <v>#DIV/0!</v>
      </c>
    </row>
    <row r="7" spans="1:12" ht="15">
      <c r="A7" s="337" t="s">
        <v>378</v>
      </c>
      <c r="B7" s="338"/>
      <c r="C7" s="339">
        <f>ecart1-B4</f>
        <v>0</v>
      </c>
      <c r="D7" s="339">
        <f>ecart2-ecart1</f>
        <v>0</v>
      </c>
      <c r="E7" s="339">
        <f>ecart3-ecart2</f>
        <v>0</v>
      </c>
      <c r="F7" s="339">
        <f>ecart4-ecart3</f>
        <v>0</v>
      </c>
      <c r="G7" s="339">
        <f>ecart5-ecart4</f>
        <v>0</v>
      </c>
      <c r="H7" s="339">
        <f>ecart6-ecart5</f>
        <v>0</v>
      </c>
      <c r="I7" s="339">
        <f>ecart7-ecart6</f>
        <v>0</v>
      </c>
      <c r="J7" s="339">
        <f>J4-ecart7</f>
        <v>0</v>
      </c>
      <c r="K7" s="339">
        <f>ecart9-ecart8</f>
        <v>0</v>
      </c>
      <c r="L7" s="339">
        <f>ecart10-ecart9</f>
        <v>0</v>
      </c>
    </row>
    <row r="9" spans="1:12" s="1" customFormat="1" ht="15">
      <c r="A9" s="340" t="s">
        <v>379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s="1" customFormat="1" ht="15">
      <c r="A10" s="340" t="s">
        <v>380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2" s="1" customFormat="1" ht="15">
      <c r="A11" s="340" t="s">
        <v>381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6" ht="15">
      <c r="M16" s="261"/>
    </row>
    <row r="45" spans="11:12" ht="15">
      <c r="K45" t="s">
        <v>383</v>
      </c>
      <c r="L45">
        <v>68</v>
      </c>
    </row>
  </sheetData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1"/>
  <sheetViews>
    <sheetView workbookViewId="0" topLeftCell="A13">
      <selection activeCell="L19" activeCellId="1" sqref="L10:L13 L19"/>
    </sheetView>
  </sheetViews>
  <sheetFormatPr defaultColWidth="9.140625" defaultRowHeight="15"/>
  <cols>
    <col min="1" max="1025" width="10.4218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onlin</cp:lastModifiedBy>
  <cp:lastPrinted>2012-02-29T13:21:04Z</cp:lastPrinted>
  <dcterms:created xsi:type="dcterms:W3CDTF">2010-10-12T10:57:58Z</dcterms:created>
  <dcterms:modified xsi:type="dcterms:W3CDTF">2019-01-25T13:21:01Z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